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510" windowHeight="7410" activeTab="1"/>
  </bookViews>
  <sheets>
    <sheet name="Формулы" sheetId="1" r:id="rId1"/>
    <sheet name="Расчеты" sheetId="2" r:id="rId2"/>
    <sheet name="Интервалы" sheetId="3" r:id="rId3"/>
    <sheet name="Ноты-частоты" sheetId="4" r:id="rId4"/>
    <sheet name="Для печати" sheetId="5" r:id="rId5"/>
  </sheets>
  <definedNames>
    <definedName name="BaseNote">'Расчеты'!$H$1</definedName>
    <definedName name="BigNum">'Расчеты'!$H$3</definedName>
    <definedName name="CF_1">'Расчеты'!$C$14</definedName>
    <definedName name="CF_2">'Расчеты'!$F$14</definedName>
    <definedName name="CF_3">'Расчеты'!$I$14</definedName>
    <definedName name="CF_4">'Расчеты'!$L$14</definedName>
    <definedName name="CF_5">'Расчеты'!$O$14</definedName>
    <definedName name="Db">'Расчеты'!$D$2</definedName>
    <definedName name="Dh">'Расчеты'!$D$4</definedName>
    <definedName name="Dh_1">'Расчеты'!$C$8</definedName>
    <definedName name="Dh_2">'Расчеты'!$F$8</definedName>
    <definedName name="Dh_3">'Расчеты'!$I$8</definedName>
    <definedName name="Dh_4">'Расчеты'!$L$8</definedName>
    <definedName name="Dh_5">'Расчеты'!$O$8</definedName>
    <definedName name="EAR">'Расчеты'!$H$2</definedName>
    <definedName name="ErgoSpan">'Расчеты'!$D$5</definedName>
    <definedName name="HoleLocation1">'Расчеты'!$C$15</definedName>
    <definedName name="HoleLocation2">'Расчеты'!$F$15</definedName>
    <definedName name="HoleLocation3">'Расчеты'!$I$15</definedName>
    <definedName name="HoleLocation4">'Расчеты'!$L$15</definedName>
    <definedName name="HoleLocation5">'Расчеты'!$O$15</definedName>
    <definedName name="Hz">'Расчеты'!#REF!</definedName>
    <definedName name="Hz_1">'Расчеты'!$C$11</definedName>
    <definedName name="Hz_2">'Расчеты'!$F$11</definedName>
    <definedName name="Hz_3">'Расчеты'!$I$11</definedName>
    <definedName name="Hz_4">'Расчеты'!$L$11</definedName>
    <definedName name="Hz_5">'Расчеты'!$O$11</definedName>
    <definedName name="LastLength1">'Расчеты'!$C$10</definedName>
    <definedName name="LastLength2">'Расчеты'!$F$10</definedName>
    <definedName name="LastLength3">'Расчеты'!$I$10</definedName>
    <definedName name="LastLength4">'Расчеты'!$L$10</definedName>
    <definedName name="LastLength5">'Расчеты'!$O$10</definedName>
    <definedName name="MEL">'Расчеты'!$H$5</definedName>
    <definedName name="NewLength1">'Расчеты'!$C$12</definedName>
    <definedName name="NewLength2">'Расчеты'!$F$12</definedName>
    <definedName name="NewLength3">'Расчеты'!$I$12</definedName>
    <definedName name="NewLength4">'Расчеты'!$L$12</definedName>
    <definedName name="NewLength5">'Расчеты'!$O$12</definedName>
    <definedName name="S_1">'Расчеты'!$C$13</definedName>
    <definedName name="S_2">'Расчеты'!$F$13</definedName>
    <definedName name="S_3">'Расчеты'!$I$13</definedName>
    <definedName name="S_4">'Расчеты'!$L$13</definedName>
    <definedName name="S_5">'Расчеты'!$O$13</definedName>
    <definedName name="Te">'Расчеты'!$H$2</definedName>
    <definedName name="Te_1">'Расчеты'!$C$7</definedName>
    <definedName name="Te_2">'Расчеты'!$F$7</definedName>
    <definedName name="Te_3">'Расчеты'!$I$7</definedName>
    <definedName name="Te_4">'Расчеты'!$L$7</definedName>
    <definedName name="Te_5">'Расчеты'!$O$7</definedName>
    <definedName name="Temp1">'Расчеты'!$C$9</definedName>
    <definedName name="Temp2">'Расчеты'!$F$9</definedName>
    <definedName name="Temp3">'Расчеты'!$I$9</definedName>
    <definedName name="Temp4">'Расчеты'!$L$9</definedName>
    <definedName name="Temp5">'Расчеты'!$O$9</definedName>
    <definedName name="TL">'Расчеты'!$D$1</definedName>
    <definedName name="TubeLength">'Расчеты'!$H$4</definedName>
    <definedName name="Wt">'Расчеты'!$D$3</definedName>
  </definedNames>
  <calcPr fullCalcOnLoad="1"/>
</workbook>
</file>

<file path=xl/comments2.xml><?xml version="1.0" encoding="utf-8"?>
<comments xmlns="http://schemas.openxmlformats.org/spreadsheetml/2006/main">
  <authors>
    <author>ng_Konshin</author>
  </authors>
  <commentList>
    <comment ref="F2" authorId="0">
      <text>
        <r>
          <rPr>
            <b/>
            <sz val="8"/>
            <rFont val="Tahoma"/>
            <family val="2"/>
          </rPr>
          <t>Эквивалентный тембр. Рекомендуется 30.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связной</author>
  </authors>
  <commentList>
    <comment ref="A4" authorId="0">
      <text>
        <r>
          <rPr>
            <b/>
            <sz val="9"/>
            <rFont val="Tahoma"/>
            <family val="2"/>
          </rPr>
          <t xml:space="preserve">Земля-второе название тераккорда
</t>
        </r>
      </text>
    </comment>
  </commentList>
</comments>
</file>

<file path=xl/sharedStrings.xml><?xml version="1.0" encoding="utf-8"?>
<sst xmlns="http://schemas.openxmlformats.org/spreadsheetml/2006/main" count="145" uniqueCount="116">
  <si>
    <t>Длинна</t>
  </si>
  <si>
    <t>Толщина стенки</t>
  </si>
  <si>
    <t>Диаметр отверстий</t>
  </si>
  <si>
    <t>Частота</t>
  </si>
  <si>
    <t>мм\с</t>
  </si>
  <si>
    <t>мм</t>
  </si>
  <si>
    <t>Гц</t>
  </si>
  <si>
    <t>К</t>
  </si>
  <si>
    <t>Длинна флейты</t>
  </si>
  <si>
    <t>Внутренний диаметр</t>
  </si>
  <si>
    <t>BigNum</t>
  </si>
  <si>
    <t>TubeLength</t>
  </si>
  <si>
    <t>MEL</t>
  </si>
  <si>
    <t>LastLength1</t>
  </si>
  <si>
    <t>Hz_1</t>
  </si>
  <si>
    <t>NewLength1</t>
  </si>
  <si>
    <t>S_1</t>
  </si>
  <si>
    <t>CF_1</t>
  </si>
  <si>
    <t>LastLength2</t>
  </si>
  <si>
    <t>Hz_2</t>
  </si>
  <si>
    <t>NewLength2</t>
  </si>
  <si>
    <t>S_2</t>
  </si>
  <si>
    <t>CF_2</t>
  </si>
  <si>
    <t>LastLength3</t>
  </si>
  <si>
    <t>Hz_3</t>
  </si>
  <si>
    <t>NewLength3</t>
  </si>
  <si>
    <t>S_3</t>
  </si>
  <si>
    <t>CF_3</t>
  </si>
  <si>
    <t>LastLength4</t>
  </si>
  <si>
    <t>LastLength5</t>
  </si>
  <si>
    <t>Hz_4</t>
  </si>
  <si>
    <t>Hz_5</t>
  </si>
  <si>
    <t>NewLength4</t>
  </si>
  <si>
    <t>NewLength5</t>
  </si>
  <si>
    <t>S_4</t>
  </si>
  <si>
    <t>S_5</t>
  </si>
  <si>
    <t>CF_4</t>
  </si>
  <si>
    <t>CF_5</t>
  </si>
  <si>
    <t>EAR</t>
  </si>
  <si>
    <t>Скорость звука</t>
  </si>
  <si>
    <t>1--2</t>
  </si>
  <si>
    <t>3--4</t>
  </si>
  <si>
    <t>4--5</t>
  </si>
  <si>
    <t>Te_1</t>
  </si>
  <si>
    <t>Te_2</t>
  </si>
  <si>
    <t>Te_3</t>
  </si>
  <si>
    <t>Te_4</t>
  </si>
  <si>
    <t>Te_5</t>
  </si>
  <si>
    <t>2--3</t>
  </si>
  <si>
    <t>Воспроизводимый диапазон</t>
  </si>
  <si>
    <t>Интервал1</t>
  </si>
  <si>
    <t>Интервал2</t>
  </si>
  <si>
    <t>Интервал3</t>
  </si>
  <si>
    <t>Интервал4</t>
  </si>
  <si>
    <t>Интервал5</t>
  </si>
  <si>
    <t>Отверстие 1</t>
  </si>
  <si>
    <t>Отверстие 2</t>
  </si>
  <si>
    <t>Отверстие 3</t>
  </si>
  <si>
    <t>Отверстие 4</t>
  </si>
  <si>
    <t>Отверстие 5</t>
  </si>
  <si>
    <t>Минье</t>
  </si>
  <si>
    <t>Интервалы</t>
  </si>
  <si>
    <t>Имя тетраккорда</t>
  </si>
  <si>
    <t>Ноты тетраккорда</t>
  </si>
  <si>
    <t>D F G A G D</t>
  </si>
  <si>
    <t>Мияко Буси</t>
  </si>
  <si>
    <t>14214</t>
  </si>
  <si>
    <t>D Eb G A Bb D</t>
  </si>
  <si>
    <t>Рицу (земля)</t>
  </si>
  <si>
    <t>23223</t>
  </si>
  <si>
    <t>D E G A B D</t>
  </si>
  <si>
    <t>Огонь</t>
  </si>
  <si>
    <t>Воздух</t>
  </si>
  <si>
    <t>Вода</t>
  </si>
  <si>
    <t>Облако</t>
  </si>
  <si>
    <t>33222</t>
  </si>
  <si>
    <t>D F G# Bb C D</t>
  </si>
  <si>
    <t>32322</t>
  </si>
  <si>
    <t>D F G Bb C D</t>
  </si>
  <si>
    <t>23232</t>
  </si>
  <si>
    <t>D E G A C D</t>
  </si>
  <si>
    <t>22233</t>
  </si>
  <si>
    <t>D E F# G# B D</t>
  </si>
  <si>
    <t>Рюкйю</t>
  </si>
  <si>
    <t>D F# G A C# D</t>
  </si>
  <si>
    <t>41241</t>
  </si>
  <si>
    <t>октавы</t>
  </si>
  <si>
    <t>мм- расcтояние между отверстиями</t>
  </si>
  <si>
    <t>Базовая нота</t>
  </si>
  <si>
    <t>Глубина</t>
  </si>
  <si>
    <t>Ширина</t>
  </si>
  <si>
    <t>УТАГУЧИ</t>
  </si>
  <si>
    <t>Расчетные размеры (баланс)</t>
  </si>
  <si>
    <t>Зависимость длинны и частоты (тона, ноты)</t>
  </si>
  <si>
    <t>Комментарии:</t>
  </si>
  <si>
    <r>
      <t xml:space="preserve">помечены </t>
    </r>
    <r>
      <rPr>
        <sz val="11"/>
        <color indexed="17"/>
        <rFont val="Calibri"/>
        <family val="2"/>
      </rPr>
      <t>зеленым</t>
    </r>
    <r>
      <rPr>
        <sz val="11"/>
        <color theme="1"/>
        <rFont val="Calibri"/>
        <family val="2"/>
      </rPr>
      <t xml:space="preserve"> цветом</t>
    </r>
  </si>
  <si>
    <t>1. Изменяемые (вносимые) параметры</t>
  </si>
  <si>
    <t>2. Результаты расчетов помечены</t>
  </si>
  <si>
    <r>
      <rPr>
        <b/>
        <sz val="11"/>
        <color indexed="10"/>
        <rFont val="Calibri"/>
        <family val="2"/>
      </rPr>
      <t xml:space="preserve">красным </t>
    </r>
    <r>
      <rPr>
        <sz val="11"/>
        <color theme="1"/>
        <rFont val="Calibri"/>
        <family val="2"/>
      </rPr>
      <t>цветом</t>
    </r>
  </si>
  <si>
    <t>Как пользоваться калькулятором:</t>
  </si>
  <si>
    <r>
      <t xml:space="preserve">2. </t>
    </r>
    <r>
      <rPr>
        <b/>
        <sz val="11"/>
        <color indexed="10"/>
        <rFont val="Calibri"/>
        <family val="2"/>
      </rPr>
      <t xml:space="preserve">Красным </t>
    </r>
    <r>
      <rPr>
        <sz val="11"/>
        <rFont val="Calibri"/>
        <family val="2"/>
      </rPr>
      <t>помечены результаты расчетов</t>
    </r>
  </si>
  <si>
    <t>Диаметр отверстия 1</t>
  </si>
  <si>
    <t>Диаметр отверстия 2</t>
  </si>
  <si>
    <t>Диаметр отверстия 3</t>
  </si>
  <si>
    <t>Диаметр отверстия 4</t>
  </si>
  <si>
    <t>Диаметр отверстия 5</t>
  </si>
  <si>
    <r>
      <t xml:space="preserve">1. Все параметры помеченные </t>
    </r>
    <r>
      <rPr>
        <b/>
        <sz val="11"/>
        <color indexed="17"/>
        <rFont val="Calibri"/>
        <family val="2"/>
      </rPr>
      <t>зеленым</t>
    </r>
    <r>
      <rPr>
        <sz val="11"/>
        <color theme="1"/>
        <rFont val="Calibri"/>
        <family val="2"/>
      </rPr>
      <t xml:space="preserve"> цветом необходимо заполнить</t>
    </r>
  </si>
  <si>
    <t>3. Цифры для интервалов можно взять из таблицы во вкладке &lt;Интервалы&gt;.</t>
  </si>
  <si>
    <t>Вы можете указать произвольный тераккорд главно, что бы сумма интервалов</t>
  </si>
  <si>
    <t>составляла 12!</t>
  </si>
  <si>
    <t>там где утагучи.</t>
  </si>
  <si>
    <t>4. Расстояния до отверстий указаны от аккустического начала флейты,</t>
  </si>
  <si>
    <t>Чертеж флейты</t>
  </si>
  <si>
    <t>Базовая частота Гц:</t>
  </si>
  <si>
    <t>Число октав:</t>
  </si>
  <si>
    <t>Эквивалентный тембр: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</si>
</sst>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00"/>
    <numFmt numFmtId="166" formatCode="0.0"/>
    <numFmt numFmtId="167" formatCode="0000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7"/>
      <name val="Calibri"/>
      <family val="2"/>
    </font>
    <font>
      <sz val="11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40"/>
      <name val="Calibri"/>
      <family val="2"/>
    </font>
    <font>
      <b/>
      <sz val="10"/>
      <color indexed="8"/>
      <name val="Calibri"/>
      <family val="2"/>
    </font>
    <font>
      <sz val="11"/>
      <color indexed="55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56"/>
      <name val="Calibri"/>
      <family val="2"/>
    </font>
    <font>
      <b/>
      <sz val="11"/>
      <name val="Calibri"/>
      <family val="2"/>
    </font>
    <font>
      <b/>
      <sz val="20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B0F0"/>
      <name val="Calibri"/>
      <family val="2"/>
    </font>
    <font>
      <sz val="11"/>
      <color rgb="FF00B050"/>
      <name val="Calibri"/>
      <family val="2"/>
    </font>
    <font>
      <b/>
      <sz val="11"/>
      <color rgb="FFFF0000"/>
      <name val="Calibri"/>
      <family val="2"/>
    </font>
    <font>
      <b/>
      <sz val="10"/>
      <color theme="1"/>
      <name val="Calibri"/>
      <family val="2"/>
    </font>
    <font>
      <b/>
      <sz val="11"/>
      <color rgb="FF00B050"/>
      <name val="Calibri"/>
      <family val="2"/>
    </font>
    <font>
      <b/>
      <sz val="11"/>
      <color rgb="FF002060"/>
      <name val="Calibri"/>
      <family val="2"/>
    </font>
    <font>
      <sz val="11"/>
      <color theme="0" tint="-0.24997000396251678"/>
      <name val="Calibri"/>
      <family val="2"/>
    </font>
    <font>
      <sz val="11"/>
      <color theme="0" tint="-0.24993999302387238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b/>
      <sz val="10"/>
      <color theme="3"/>
      <name val="Calibri"/>
      <family val="2"/>
    </font>
    <font>
      <b/>
      <sz val="20"/>
      <color theme="1"/>
      <name val="Calibri"/>
      <family val="2"/>
    </font>
    <font>
      <sz val="9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49" fillId="0" borderId="12" xfId="0" applyNumberFormat="1" applyFont="1" applyBorder="1" applyAlignment="1">
      <alignment horizontal="center"/>
    </xf>
    <xf numFmtId="0" fontId="0" fillId="0" borderId="0" xfId="0" applyBorder="1" applyAlignment="1" applyProtection="1">
      <alignment/>
      <protection hidden="1"/>
    </xf>
    <xf numFmtId="0" fontId="40" fillId="0" borderId="0" xfId="0" applyFont="1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50" fillId="0" borderId="0" xfId="0" applyFont="1" applyBorder="1" applyAlignment="1" applyProtection="1">
      <alignment/>
      <protection hidden="1" locked="0"/>
    </xf>
    <xf numFmtId="0" fontId="50" fillId="0" borderId="14" xfId="0" applyFont="1" applyBorder="1" applyAlignment="1" applyProtection="1">
      <alignment/>
      <protection hidden="1" locked="0"/>
    </xf>
    <xf numFmtId="0" fontId="0" fillId="0" borderId="14" xfId="0" applyBorder="1" applyAlignment="1" applyProtection="1">
      <alignment/>
      <protection hidden="1"/>
    </xf>
    <xf numFmtId="2" fontId="51" fillId="0" borderId="0" xfId="0" applyNumberFormat="1" applyFont="1" applyBorder="1" applyAlignment="1" applyProtection="1">
      <alignment/>
      <protection hidden="1"/>
    </xf>
    <xf numFmtId="1" fontId="51" fillId="0" borderId="0" xfId="0" applyNumberFormat="1" applyFont="1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0" fontId="0" fillId="0" borderId="18" xfId="0" applyBorder="1" applyAlignment="1" applyProtection="1">
      <alignment/>
      <protection hidden="1"/>
    </xf>
    <xf numFmtId="0" fontId="0" fillId="0" borderId="19" xfId="0" applyBorder="1" applyAlignment="1" applyProtection="1">
      <alignment/>
      <protection hidden="1"/>
    </xf>
    <xf numFmtId="0" fontId="40" fillId="0" borderId="20" xfId="0" applyFont="1" applyBorder="1" applyAlignment="1" applyProtection="1">
      <alignment/>
      <protection hidden="1"/>
    </xf>
    <xf numFmtId="0" fontId="0" fillId="0" borderId="20" xfId="0" applyBorder="1" applyAlignment="1" applyProtection="1">
      <alignment/>
      <protection hidden="1"/>
    </xf>
    <xf numFmtId="0" fontId="50" fillId="0" borderId="14" xfId="0" applyFont="1" applyBorder="1" applyAlignment="1" applyProtection="1">
      <alignment horizontal="center"/>
      <protection hidden="1" locked="0"/>
    </xf>
    <xf numFmtId="1" fontId="51" fillId="0" borderId="0" xfId="0" applyNumberFormat="1" applyFont="1" applyBorder="1" applyAlignment="1" applyProtection="1">
      <alignment horizontal="center"/>
      <protection hidden="1"/>
    </xf>
    <xf numFmtId="166" fontId="51" fillId="0" borderId="0" xfId="0" applyNumberFormat="1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166" fontId="50" fillId="0" borderId="14" xfId="0" applyNumberFormat="1" applyFont="1" applyBorder="1" applyAlignment="1" applyProtection="1">
      <alignment horizontal="center"/>
      <protection hidden="1" locked="0"/>
    </xf>
    <xf numFmtId="0" fontId="0" fillId="0" borderId="20" xfId="0" applyBorder="1" applyAlignment="1" applyProtection="1">
      <alignment horizontal="right"/>
      <protection hidden="1"/>
    </xf>
    <xf numFmtId="0" fontId="52" fillId="0" borderId="0" xfId="0" applyFont="1" applyBorder="1" applyAlignment="1" applyProtection="1">
      <alignment horizontal="right"/>
      <protection hidden="1"/>
    </xf>
    <xf numFmtId="1" fontId="53" fillId="0" borderId="10" xfId="0" applyNumberFormat="1" applyFont="1" applyBorder="1" applyAlignment="1" applyProtection="1">
      <alignment horizontal="center"/>
      <protection hidden="1" locked="0"/>
    </xf>
    <xf numFmtId="0" fontId="39" fillId="0" borderId="0" xfId="0" applyFont="1" applyAlignment="1" applyProtection="1">
      <alignment/>
      <protection hidden="1"/>
    </xf>
    <xf numFmtId="2" fontId="51" fillId="0" borderId="0" xfId="0" applyNumberFormat="1" applyFont="1" applyAlignment="1" applyProtection="1">
      <alignment/>
      <protection hidden="1"/>
    </xf>
    <xf numFmtId="0" fontId="54" fillId="0" borderId="0" xfId="0" applyFont="1" applyAlignment="1" applyProtection="1">
      <alignment/>
      <protection hidden="1"/>
    </xf>
    <xf numFmtId="0" fontId="53" fillId="0" borderId="10" xfId="0" applyFont="1" applyBorder="1" applyAlignment="1" applyProtection="1">
      <alignment horizontal="center"/>
      <protection hidden="1" locked="0"/>
    </xf>
    <xf numFmtId="2" fontId="55" fillId="0" borderId="0" xfId="0" applyNumberFormat="1" applyFont="1" applyAlignment="1" applyProtection="1">
      <alignment/>
      <protection hidden="1"/>
    </xf>
    <xf numFmtId="49" fontId="0" fillId="0" borderId="0" xfId="0" applyNumberFormat="1" applyAlignment="1" applyProtection="1">
      <alignment horizontal="right"/>
      <protection hidden="1"/>
    </xf>
    <xf numFmtId="1" fontId="0" fillId="0" borderId="0" xfId="0" applyNumberFormat="1" applyAlignment="1" applyProtection="1">
      <alignment/>
      <protection hidden="1"/>
    </xf>
    <xf numFmtId="0" fontId="56" fillId="0" borderId="0" xfId="0" applyFont="1" applyAlignment="1" applyProtection="1">
      <alignment horizontal="right"/>
      <protection hidden="1"/>
    </xf>
    <xf numFmtId="1" fontId="56" fillId="0" borderId="0" xfId="0" applyNumberFormat="1" applyFont="1" applyAlignment="1" applyProtection="1">
      <alignment/>
      <protection hidden="1"/>
    </xf>
    <xf numFmtId="0" fontId="55" fillId="0" borderId="0" xfId="0" applyFont="1" applyAlignment="1" applyProtection="1">
      <alignment/>
      <protection hidden="1"/>
    </xf>
    <xf numFmtId="0" fontId="53" fillId="0" borderId="0" xfId="0" applyFont="1" applyBorder="1" applyAlignment="1" applyProtection="1">
      <alignment horizontal="center"/>
      <protection hidden="1"/>
    </xf>
    <xf numFmtId="0" fontId="39" fillId="0" borderId="0" xfId="0" applyFont="1" applyBorder="1" applyAlignment="1" applyProtection="1">
      <alignment/>
      <protection hidden="1"/>
    </xf>
    <xf numFmtId="0" fontId="55" fillId="0" borderId="13" xfId="0" applyFont="1" applyBorder="1" applyAlignment="1" applyProtection="1">
      <alignment/>
      <protection hidden="1"/>
    </xf>
    <xf numFmtId="0" fontId="53" fillId="0" borderId="13" xfId="0" applyFont="1" applyBorder="1" applyAlignment="1" applyProtection="1">
      <alignment/>
      <protection hidden="1" locked="0"/>
    </xf>
    <xf numFmtId="2" fontId="55" fillId="0" borderId="13" xfId="0" applyNumberFormat="1" applyFont="1" applyBorder="1" applyAlignment="1" applyProtection="1">
      <alignment/>
      <protection hidden="1"/>
    </xf>
    <xf numFmtId="2" fontId="55" fillId="0" borderId="16" xfId="0" applyNumberFormat="1" applyFont="1" applyBorder="1" applyAlignment="1" applyProtection="1">
      <alignment/>
      <protection hidden="1"/>
    </xf>
    <xf numFmtId="1" fontId="51" fillId="0" borderId="13" xfId="0" applyNumberFormat="1" applyFont="1" applyBorder="1" applyAlignment="1" applyProtection="1">
      <alignment/>
      <protection hidden="1"/>
    </xf>
    <xf numFmtId="0" fontId="57" fillId="0" borderId="0" xfId="0" applyFont="1" applyAlignment="1" applyProtection="1">
      <alignment/>
      <protection hidden="1"/>
    </xf>
    <xf numFmtId="0" fontId="0" fillId="0" borderId="0" xfId="0" applyAlignment="1">
      <alignment/>
    </xf>
    <xf numFmtId="1" fontId="40" fillId="0" borderId="0" xfId="0" applyNumberFormat="1" applyFont="1" applyAlignment="1">
      <alignment horizontal="left"/>
    </xf>
    <xf numFmtId="1" fontId="40" fillId="0" borderId="0" xfId="0" applyNumberFormat="1" applyFont="1" applyAlignment="1">
      <alignment horizontal="center"/>
    </xf>
    <xf numFmtId="1" fontId="40" fillId="0" borderId="0" xfId="0" applyNumberFormat="1" applyFont="1" applyAlignment="1">
      <alignment/>
    </xf>
    <xf numFmtId="166" fontId="40" fillId="0" borderId="0" xfId="0" applyNumberFormat="1" applyFont="1" applyAlignment="1">
      <alignment horizontal="left"/>
    </xf>
    <xf numFmtId="0" fontId="0" fillId="0" borderId="0" xfId="0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/>
      <protection hidden="1"/>
    </xf>
    <xf numFmtId="0" fontId="0" fillId="0" borderId="20" xfId="0" applyBorder="1" applyAlignment="1" applyProtection="1">
      <alignment horizontal="right"/>
      <protection hidden="1"/>
    </xf>
    <xf numFmtId="0" fontId="0" fillId="0" borderId="0" xfId="0" applyBorder="1" applyAlignment="1" applyProtection="1">
      <alignment horizontal="right"/>
      <protection hidden="1"/>
    </xf>
    <xf numFmtId="0" fontId="40" fillId="0" borderId="20" xfId="0" applyFont="1" applyBorder="1" applyAlignment="1" applyProtection="1">
      <alignment horizontal="right"/>
      <protection hidden="1"/>
    </xf>
    <xf numFmtId="0" fontId="40" fillId="0" borderId="0" xfId="0" applyFont="1" applyBorder="1" applyAlignment="1" applyProtection="1">
      <alignment horizontal="right"/>
      <protection hidden="1"/>
    </xf>
    <xf numFmtId="0" fontId="58" fillId="0" borderId="15" xfId="0" applyFont="1" applyBorder="1" applyAlignment="1" applyProtection="1">
      <alignment horizontal="right"/>
      <protection hidden="1"/>
    </xf>
    <xf numFmtId="0" fontId="58" fillId="0" borderId="14" xfId="0" applyFont="1" applyBorder="1" applyAlignment="1" applyProtection="1">
      <alignment horizontal="right"/>
      <protection hidden="1"/>
    </xf>
    <xf numFmtId="0" fontId="52" fillId="0" borderId="20" xfId="0" applyFont="1" applyBorder="1" applyAlignment="1" applyProtection="1">
      <alignment horizontal="right"/>
      <protection hidden="1"/>
    </xf>
    <xf numFmtId="0" fontId="52" fillId="0" borderId="0" xfId="0" applyFont="1" applyBorder="1" applyAlignment="1" applyProtection="1">
      <alignment horizontal="right"/>
      <protection hidden="1"/>
    </xf>
    <xf numFmtId="0" fontId="58" fillId="0" borderId="20" xfId="0" applyFont="1" applyBorder="1" applyAlignment="1" applyProtection="1">
      <alignment horizontal="right"/>
      <protection hidden="1"/>
    </xf>
    <xf numFmtId="0" fontId="58" fillId="0" borderId="0" xfId="0" applyFont="1" applyBorder="1" applyAlignment="1" applyProtection="1">
      <alignment horizontal="right"/>
      <protection hidden="1"/>
    </xf>
    <xf numFmtId="0" fontId="55" fillId="0" borderId="0" xfId="0" applyFont="1" applyAlignment="1" applyProtection="1">
      <alignment horizontal="right"/>
      <protection hidden="1"/>
    </xf>
    <xf numFmtId="0" fontId="59" fillId="0" borderId="0" xfId="0" applyFont="1" applyAlignment="1" applyProtection="1">
      <alignment horizontal="right"/>
      <protection hidden="1"/>
    </xf>
    <xf numFmtId="0" fontId="59" fillId="0" borderId="20" xfId="0" applyFont="1" applyBorder="1" applyAlignment="1" applyProtection="1">
      <alignment horizontal="right"/>
      <protection hidden="1"/>
    </xf>
    <xf numFmtId="0" fontId="39" fillId="0" borderId="0" xfId="0" applyFont="1" applyAlignment="1" applyProtection="1">
      <alignment horizontal="right"/>
      <protection hidden="1"/>
    </xf>
    <xf numFmtId="0" fontId="39" fillId="0" borderId="0" xfId="0" applyFont="1" applyBorder="1" applyAlignment="1" applyProtection="1">
      <alignment horizontal="right"/>
      <protection hidden="1"/>
    </xf>
    <xf numFmtId="0" fontId="54" fillId="0" borderId="0" xfId="0" applyFont="1" applyAlignment="1" applyProtection="1">
      <alignment horizontal="right"/>
      <protection hidden="1"/>
    </xf>
    <xf numFmtId="0" fontId="55" fillId="0" borderId="14" xfId="0" applyFont="1" applyBorder="1" applyAlignment="1" applyProtection="1">
      <alignment horizontal="right"/>
      <protection hidden="1"/>
    </xf>
    <xf numFmtId="0" fontId="40" fillId="0" borderId="0" xfId="0" applyFont="1" applyAlignment="1" applyProtection="1">
      <alignment horizontal="right"/>
      <protection hidden="1"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right"/>
    </xf>
    <xf numFmtId="49" fontId="0" fillId="0" borderId="10" xfId="0" applyNumberFormat="1" applyBorder="1" applyAlignment="1">
      <alignment horizontal="right"/>
    </xf>
    <xf numFmtId="49" fontId="49" fillId="0" borderId="12" xfId="0" applyNumberFormat="1" applyFon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right"/>
    </xf>
    <xf numFmtId="0" fontId="40" fillId="0" borderId="0" xfId="0" applyFont="1" applyAlignment="1">
      <alignment horizontal="left"/>
    </xf>
    <xf numFmtId="166" fontId="30" fillId="0" borderId="0" xfId="0" applyNumberFormat="1" applyFont="1" applyBorder="1" applyAlignment="1" applyProtection="1">
      <alignment horizontal="center"/>
      <protection hidden="1"/>
    </xf>
    <xf numFmtId="166" fontId="30" fillId="0" borderId="0" xfId="0" applyNumberFormat="1" applyFont="1" applyBorder="1" applyAlignment="1" applyProtection="1">
      <alignment horizontal="left"/>
      <protection hidden="1"/>
    </xf>
    <xf numFmtId="0" fontId="60" fillId="0" borderId="0" xfId="0" applyFont="1" applyAlignment="1">
      <alignment/>
    </xf>
    <xf numFmtId="0" fontId="0" fillId="0" borderId="0" xfId="0" applyAlignment="1">
      <alignment horizontal="right"/>
    </xf>
    <xf numFmtId="2" fontId="40" fillId="0" borderId="0" xfId="0" applyNumberFormat="1" applyFont="1" applyAlignment="1">
      <alignment horizontal="center"/>
    </xf>
    <xf numFmtId="166" fontId="40" fillId="0" borderId="0" xfId="0" applyNumberFormat="1" applyFont="1" applyAlignment="1">
      <alignment horizontal="center"/>
    </xf>
    <xf numFmtId="0" fontId="61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438150</xdr:colOff>
      <xdr:row>8</xdr:row>
      <xdr:rowOff>180975</xdr:rowOff>
    </xdr:from>
    <xdr:to>
      <xdr:col>9</xdr:col>
      <xdr:colOff>304800</xdr:colOff>
      <xdr:row>15</xdr:row>
      <xdr:rowOff>123825</xdr:rowOff>
    </xdr:to>
    <xdr:grpSp>
      <xdr:nvGrpSpPr>
        <xdr:cNvPr id="1" name="Группа 32"/>
        <xdr:cNvGrpSpPr>
          <a:grpSpLocks/>
        </xdr:cNvGrpSpPr>
      </xdr:nvGrpSpPr>
      <xdr:grpSpPr>
        <a:xfrm>
          <a:off x="3486150" y="1704975"/>
          <a:ext cx="2305050" cy="1276350"/>
          <a:chOff x="3486150" y="3990975"/>
          <a:chExt cx="2305050" cy="1276350"/>
        </a:xfrm>
        <a:solidFill>
          <a:srgbClr val="FFFFFF"/>
        </a:solidFill>
      </xdr:grpSpPr>
      <xdr:grpSp>
        <xdr:nvGrpSpPr>
          <xdr:cNvPr id="2" name="Группа 4"/>
          <xdr:cNvGrpSpPr>
            <a:grpSpLocks/>
          </xdr:cNvGrpSpPr>
        </xdr:nvGrpSpPr>
        <xdr:grpSpPr>
          <a:xfrm>
            <a:off x="3486150" y="3990975"/>
            <a:ext cx="1000392" cy="1276350"/>
            <a:chOff x="438150" y="1323975"/>
            <a:chExt cx="1000125" cy="1276350"/>
          </a:xfrm>
          <a:solidFill>
            <a:srgbClr val="FFFFFF"/>
          </a:solidFill>
        </xdr:grpSpPr>
        <xdr:sp>
          <xdr:nvSpPr>
            <xdr:cNvPr id="3" name="Прямоугольник 1"/>
            <xdr:cNvSpPr>
              <a:spLocks/>
            </xdr:cNvSpPr>
          </xdr:nvSpPr>
          <xdr:spPr>
            <a:xfrm>
              <a:off x="438150" y="1323975"/>
              <a:ext cx="1000125" cy="895360"/>
            </a:xfrm>
            <a:prstGeom prst="rect">
              <a:avLst/>
            </a:prstGeom>
            <a:solidFill>
              <a:srgbClr val="4F81BD"/>
            </a:solidFill>
            <a:ln w="25400" cmpd="sng">
              <a:solidFill>
                <a:srgbClr val="385D8A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4" name="Овал 3"/>
            <xdr:cNvSpPr>
              <a:spLocks/>
            </xdr:cNvSpPr>
          </xdr:nvSpPr>
          <xdr:spPr>
            <a:xfrm>
              <a:off x="561915" y="2057557"/>
              <a:ext cx="742843" cy="542768"/>
            </a:xfrm>
            <a:prstGeom prst="ellipse">
              <a:avLst/>
            </a:prstGeom>
            <a:solidFill>
              <a:srgbClr val="FFFFFF"/>
            </a:solidFill>
            <a:ln w="25400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sp>
        <xdr:nvSpPr>
          <xdr:cNvPr id="5" name="Прямая соединительная линия 6"/>
          <xdr:cNvSpPr>
            <a:spLocks/>
          </xdr:cNvSpPr>
        </xdr:nvSpPr>
        <xdr:spPr>
          <a:xfrm rot="16200000" flipH="1">
            <a:off x="3981736" y="4714985"/>
            <a:ext cx="1019408" cy="957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Прямая соединительная линия 7"/>
          <xdr:cNvSpPr>
            <a:spLocks/>
          </xdr:cNvSpPr>
        </xdr:nvSpPr>
        <xdr:spPr>
          <a:xfrm>
            <a:off x="3638283" y="5181490"/>
            <a:ext cx="69554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stealth"/>
            <a:tailEnd type="stealth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Прямая соединительная линия 16"/>
          <xdr:cNvSpPr>
            <a:spLocks/>
          </xdr:cNvSpPr>
        </xdr:nvSpPr>
        <xdr:spPr>
          <a:xfrm rot="5400000">
            <a:off x="3425067" y="5052898"/>
            <a:ext cx="40972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Прямая соединительная линия 23"/>
          <xdr:cNvSpPr>
            <a:spLocks/>
          </xdr:cNvSpPr>
        </xdr:nvSpPr>
        <xdr:spPr>
          <a:xfrm rot="5400000">
            <a:off x="4129259" y="5043645"/>
            <a:ext cx="40972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Прямая соединительная линия 24"/>
          <xdr:cNvSpPr>
            <a:spLocks/>
          </xdr:cNvSpPr>
        </xdr:nvSpPr>
        <xdr:spPr>
          <a:xfrm rot="5400000">
            <a:off x="4691115" y="4824432"/>
            <a:ext cx="40972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Прямая соединительная линия 26"/>
          <xdr:cNvSpPr>
            <a:spLocks/>
          </xdr:cNvSpPr>
        </xdr:nvSpPr>
        <xdr:spPr>
          <a:xfrm>
            <a:off x="4343629" y="4895907"/>
            <a:ext cx="628702" cy="957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" name="TextBox 29"/>
          <xdr:cNvSpPr txBox="1">
            <a:spLocks noChangeArrowheads="1"/>
          </xdr:cNvSpPr>
        </xdr:nvSpPr>
        <xdr:spPr>
          <a:xfrm>
            <a:off x="4876671" y="4705412"/>
            <a:ext cx="914529" cy="24761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Глубина</a:t>
            </a:r>
          </a:p>
        </xdr:txBody>
      </xdr:sp>
      <xdr:sp>
        <xdr:nvSpPr>
          <xdr:cNvPr id="12" name="TextBox 30"/>
          <xdr:cNvSpPr txBox="1">
            <a:spLocks noChangeArrowheads="1"/>
          </xdr:cNvSpPr>
        </xdr:nvSpPr>
        <xdr:spPr>
          <a:xfrm>
            <a:off x="3695910" y="4915052"/>
            <a:ext cx="914529" cy="24761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Ширина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7</xdr:col>
      <xdr:colOff>295275</xdr:colOff>
      <xdr:row>33</xdr:row>
      <xdr:rowOff>123825</xdr:rowOff>
    </xdr:to>
    <xdr:pic>
      <xdr:nvPicPr>
        <xdr:cNvPr id="1" name="Рисунок 1" descr="Notes_Hz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4524375" cy="6410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3</xdr:row>
      <xdr:rowOff>66675</xdr:rowOff>
    </xdr:from>
    <xdr:to>
      <xdr:col>4</xdr:col>
      <xdr:colOff>504825</xdr:colOff>
      <xdr:row>37</xdr:row>
      <xdr:rowOff>152400</xdr:rowOff>
    </xdr:to>
    <xdr:grpSp>
      <xdr:nvGrpSpPr>
        <xdr:cNvPr id="1" name="Группа 9"/>
        <xdr:cNvGrpSpPr>
          <a:grpSpLocks/>
        </xdr:cNvGrpSpPr>
      </xdr:nvGrpSpPr>
      <xdr:grpSpPr>
        <a:xfrm>
          <a:off x="2447925" y="781050"/>
          <a:ext cx="495300" cy="6562725"/>
          <a:chOff x="2447926" y="257175"/>
          <a:chExt cx="495300" cy="6562725"/>
        </a:xfrm>
        <a:solidFill>
          <a:srgbClr val="FFFFFF"/>
        </a:solidFill>
      </xdr:grpSpPr>
      <xdr:sp>
        <xdr:nvSpPr>
          <xdr:cNvPr id="2" name="Прямоугольник 1"/>
          <xdr:cNvSpPr>
            <a:spLocks/>
          </xdr:cNvSpPr>
        </xdr:nvSpPr>
        <xdr:spPr>
          <a:xfrm>
            <a:off x="2447926" y="380226"/>
            <a:ext cx="495300" cy="5952392"/>
          </a:xfrm>
          <a:prstGeom prst="rect">
            <a:avLst/>
          </a:prstGeom>
          <a:gradFill rotWithShape="1">
            <a:gsLst>
              <a:gs pos="0">
                <a:srgbClr val="D6B19C"/>
              </a:gs>
              <a:gs pos="30000">
                <a:srgbClr val="D49E6C"/>
              </a:gs>
              <a:gs pos="70000">
                <a:srgbClr val="A65528"/>
              </a:gs>
              <a:gs pos="100000">
                <a:srgbClr val="663012"/>
              </a:gs>
            </a:gsLst>
            <a:lin ang="0" scaled="1"/>
          </a:gradFill>
          <a:ln w="25400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Овал 2"/>
          <xdr:cNvSpPr>
            <a:spLocks/>
          </xdr:cNvSpPr>
        </xdr:nvSpPr>
        <xdr:spPr>
          <a:xfrm>
            <a:off x="2505133" y="257175"/>
            <a:ext cx="361940" cy="219851"/>
          </a:xfrm>
          <a:prstGeom prst="ellipse">
            <a:avLst/>
          </a:prstGeom>
          <a:solidFill>
            <a:srgbClr val="FFFFFF"/>
          </a:solidFill>
          <a:ln w="25400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Овал 3"/>
          <xdr:cNvSpPr>
            <a:spLocks/>
          </xdr:cNvSpPr>
        </xdr:nvSpPr>
        <xdr:spPr>
          <a:xfrm>
            <a:off x="2571751" y="5505714"/>
            <a:ext cx="238115" cy="237899"/>
          </a:xfrm>
          <a:prstGeom prst="ellipse">
            <a:avLst/>
          </a:prstGeom>
          <a:solidFill>
            <a:srgbClr val="10253F"/>
          </a:solidFill>
          <a:ln w="25400" cmpd="sng">
            <a:noFill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1</a:t>
            </a:r>
          </a:p>
        </xdr:txBody>
      </xdr:sp>
      <xdr:sp>
        <xdr:nvSpPr>
          <xdr:cNvPr id="5" name="Овал 4"/>
          <xdr:cNvSpPr>
            <a:spLocks/>
          </xdr:cNvSpPr>
        </xdr:nvSpPr>
        <xdr:spPr>
          <a:xfrm>
            <a:off x="2571751" y="4772330"/>
            <a:ext cx="238115" cy="237899"/>
          </a:xfrm>
          <a:prstGeom prst="ellipse">
            <a:avLst/>
          </a:prstGeom>
          <a:solidFill>
            <a:srgbClr val="10253F"/>
          </a:solidFill>
          <a:ln w="25400" cmpd="sng">
            <a:noFill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2</a:t>
            </a:r>
          </a:p>
        </xdr:txBody>
      </xdr:sp>
      <xdr:sp>
        <xdr:nvSpPr>
          <xdr:cNvPr id="6" name="Овал 5"/>
          <xdr:cNvSpPr>
            <a:spLocks/>
          </xdr:cNvSpPr>
        </xdr:nvSpPr>
        <xdr:spPr>
          <a:xfrm>
            <a:off x="2571751" y="3991366"/>
            <a:ext cx="238115" cy="237899"/>
          </a:xfrm>
          <a:prstGeom prst="ellipse">
            <a:avLst/>
          </a:prstGeom>
          <a:solidFill>
            <a:srgbClr val="10253F"/>
          </a:solidFill>
          <a:ln w="25400" cmpd="sng">
            <a:noFill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3</a:t>
            </a:r>
          </a:p>
        </xdr:txBody>
      </xdr:sp>
      <xdr:sp>
        <xdr:nvSpPr>
          <xdr:cNvPr id="7" name="Овал 6"/>
          <xdr:cNvSpPr>
            <a:spLocks/>
          </xdr:cNvSpPr>
        </xdr:nvSpPr>
        <xdr:spPr>
          <a:xfrm>
            <a:off x="2571751" y="3210401"/>
            <a:ext cx="238115" cy="237899"/>
          </a:xfrm>
          <a:prstGeom prst="ellipse">
            <a:avLst/>
          </a:prstGeom>
          <a:solidFill>
            <a:srgbClr val="10253F"/>
          </a:solidFill>
          <a:ln w="25400" cmpd="sng">
            <a:noFill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4</a:t>
            </a:r>
          </a:p>
        </xdr:txBody>
      </xdr:sp>
      <xdr:sp>
        <xdr:nvSpPr>
          <xdr:cNvPr id="8" name="Овал 7"/>
          <xdr:cNvSpPr>
            <a:spLocks/>
          </xdr:cNvSpPr>
        </xdr:nvSpPr>
        <xdr:spPr>
          <a:xfrm>
            <a:off x="2571751" y="2647648"/>
            <a:ext cx="238115" cy="237899"/>
          </a:xfrm>
          <a:prstGeom prst="ellipse">
            <a:avLst/>
          </a:prstGeom>
          <a:noFill/>
          <a:ln w="25400" cmpd="sng">
            <a:solidFill>
              <a:srgbClr val="10253F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5</a:t>
            </a:r>
          </a:p>
        </xdr:txBody>
      </xdr:sp>
      <xdr:sp>
        <xdr:nvSpPr>
          <xdr:cNvPr id="9" name="Овал 8"/>
          <xdr:cNvSpPr>
            <a:spLocks/>
          </xdr:cNvSpPr>
        </xdr:nvSpPr>
        <xdr:spPr>
          <a:xfrm>
            <a:off x="2495599" y="6419574"/>
            <a:ext cx="400079" cy="400326"/>
          </a:xfrm>
          <a:prstGeom prst="ellipse">
            <a:avLst/>
          </a:prstGeom>
          <a:solidFill>
            <a:srgbClr val="10253F"/>
          </a:solidFill>
          <a:ln w="117475" cmpd="sng">
            <a:solidFill>
              <a:srgbClr val="984807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4</xdr:col>
      <xdr:colOff>504825</xdr:colOff>
      <xdr:row>4</xdr:row>
      <xdr:rowOff>9525</xdr:rowOff>
    </xdr:from>
    <xdr:to>
      <xdr:col>6</xdr:col>
      <xdr:colOff>85725</xdr:colOff>
      <xdr:row>4</xdr:row>
      <xdr:rowOff>9525</xdr:rowOff>
    </xdr:to>
    <xdr:sp>
      <xdr:nvSpPr>
        <xdr:cNvPr id="10" name="Прямая соединительная линия 11"/>
        <xdr:cNvSpPr>
          <a:spLocks/>
        </xdr:cNvSpPr>
      </xdr:nvSpPr>
      <xdr:spPr>
        <a:xfrm>
          <a:off x="2943225" y="914400"/>
          <a:ext cx="800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485775</xdr:colOff>
      <xdr:row>35</xdr:row>
      <xdr:rowOff>38100</xdr:rowOff>
    </xdr:from>
    <xdr:to>
      <xdr:col>6</xdr:col>
      <xdr:colOff>95250</xdr:colOff>
      <xdr:row>35</xdr:row>
      <xdr:rowOff>38100</xdr:rowOff>
    </xdr:to>
    <xdr:sp>
      <xdr:nvSpPr>
        <xdr:cNvPr id="11" name="Прямая соединительная линия 12"/>
        <xdr:cNvSpPr>
          <a:spLocks/>
        </xdr:cNvSpPr>
      </xdr:nvSpPr>
      <xdr:spPr>
        <a:xfrm>
          <a:off x="2924175" y="6848475"/>
          <a:ext cx="8286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523875</xdr:colOff>
      <xdr:row>4</xdr:row>
      <xdr:rowOff>9525</xdr:rowOff>
    </xdr:from>
    <xdr:to>
      <xdr:col>5</xdr:col>
      <xdr:colOff>533400</xdr:colOff>
      <xdr:row>35</xdr:row>
      <xdr:rowOff>47625</xdr:rowOff>
    </xdr:to>
    <xdr:sp>
      <xdr:nvSpPr>
        <xdr:cNvPr id="12" name="Прямая со стрелкой 14"/>
        <xdr:cNvSpPr>
          <a:spLocks/>
        </xdr:cNvSpPr>
      </xdr:nvSpPr>
      <xdr:spPr>
        <a:xfrm rot="5400000">
          <a:off x="3571875" y="914400"/>
          <a:ext cx="9525" cy="5943600"/>
        </a:xfrm>
        <a:prstGeom prst="straightConnector1">
          <a:avLst/>
        </a:prstGeom>
        <a:noFill/>
        <a:ln w="1587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9525</xdr:colOff>
      <xdr:row>4</xdr:row>
      <xdr:rowOff>9525</xdr:rowOff>
    </xdr:from>
    <xdr:to>
      <xdr:col>4</xdr:col>
      <xdr:colOff>9525</xdr:colOff>
      <xdr:row>4</xdr:row>
      <xdr:rowOff>9525</xdr:rowOff>
    </xdr:to>
    <xdr:sp>
      <xdr:nvSpPr>
        <xdr:cNvPr id="13" name="Прямая соединительная линия 15"/>
        <xdr:cNvSpPr>
          <a:spLocks/>
        </xdr:cNvSpPr>
      </xdr:nvSpPr>
      <xdr:spPr>
        <a:xfrm>
          <a:off x="619125" y="914400"/>
          <a:ext cx="18288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323850</xdr:colOff>
      <xdr:row>16</xdr:row>
      <xdr:rowOff>123825</xdr:rowOff>
    </xdr:from>
    <xdr:to>
      <xdr:col>4</xdr:col>
      <xdr:colOff>123825</xdr:colOff>
      <xdr:row>16</xdr:row>
      <xdr:rowOff>123825</xdr:rowOff>
    </xdr:to>
    <xdr:sp>
      <xdr:nvSpPr>
        <xdr:cNvPr id="14" name="Прямая соединительная линия 16"/>
        <xdr:cNvSpPr>
          <a:spLocks/>
        </xdr:cNvSpPr>
      </xdr:nvSpPr>
      <xdr:spPr>
        <a:xfrm>
          <a:off x="2152650" y="3314700"/>
          <a:ext cx="4095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552450</xdr:colOff>
      <xdr:row>19</xdr:row>
      <xdr:rowOff>76200</xdr:rowOff>
    </xdr:from>
    <xdr:to>
      <xdr:col>4</xdr:col>
      <xdr:colOff>152400</xdr:colOff>
      <xdr:row>19</xdr:row>
      <xdr:rowOff>76200</xdr:rowOff>
    </xdr:to>
    <xdr:sp>
      <xdr:nvSpPr>
        <xdr:cNvPr id="15" name="Прямая соединительная линия 19"/>
        <xdr:cNvSpPr>
          <a:spLocks/>
        </xdr:cNvSpPr>
      </xdr:nvSpPr>
      <xdr:spPr>
        <a:xfrm>
          <a:off x="1771650" y="3838575"/>
          <a:ext cx="8191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219075</xdr:colOff>
      <xdr:row>23</xdr:row>
      <xdr:rowOff>114300</xdr:rowOff>
    </xdr:from>
    <xdr:to>
      <xdr:col>4</xdr:col>
      <xdr:colOff>133350</xdr:colOff>
      <xdr:row>23</xdr:row>
      <xdr:rowOff>114300</xdr:rowOff>
    </xdr:to>
    <xdr:sp>
      <xdr:nvSpPr>
        <xdr:cNvPr id="16" name="Прямая соединительная линия 20"/>
        <xdr:cNvSpPr>
          <a:spLocks/>
        </xdr:cNvSpPr>
      </xdr:nvSpPr>
      <xdr:spPr>
        <a:xfrm>
          <a:off x="1438275" y="4638675"/>
          <a:ext cx="11334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447675</xdr:colOff>
      <xdr:row>27</xdr:row>
      <xdr:rowOff>123825</xdr:rowOff>
    </xdr:from>
    <xdr:to>
      <xdr:col>4</xdr:col>
      <xdr:colOff>133350</xdr:colOff>
      <xdr:row>27</xdr:row>
      <xdr:rowOff>123825</xdr:rowOff>
    </xdr:to>
    <xdr:sp>
      <xdr:nvSpPr>
        <xdr:cNvPr id="17" name="Прямая соединительная линия 21"/>
        <xdr:cNvSpPr>
          <a:spLocks/>
        </xdr:cNvSpPr>
      </xdr:nvSpPr>
      <xdr:spPr>
        <a:xfrm>
          <a:off x="1057275" y="5410200"/>
          <a:ext cx="15144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28575</xdr:colOff>
      <xdr:row>31</xdr:row>
      <xdr:rowOff>104775</xdr:rowOff>
    </xdr:from>
    <xdr:to>
      <xdr:col>4</xdr:col>
      <xdr:colOff>142875</xdr:colOff>
      <xdr:row>31</xdr:row>
      <xdr:rowOff>104775</xdr:rowOff>
    </xdr:to>
    <xdr:sp>
      <xdr:nvSpPr>
        <xdr:cNvPr id="18" name="Прямая соединительная линия 22"/>
        <xdr:cNvSpPr>
          <a:spLocks/>
        </xdr:cNvSpPr>
      </xdr:nvSpPr>
      <xdr:spPr>
        <a:xfrm>
          <a:off x="638175" y="6153150"/>
          <a:ext cx="1943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428625</xdr:colOff>
      <xdr:row>4</xdr:row>
      <xdr:rowOff>19050</xdr:rowOff>
    </xdr:from>
    <xdr:to>
      <xdr:col>3</xdr:col>
      <xdr:colOff>438150</xdr:colOff>
      <xdr:row>16</xdr:row>
      <xdr:rowOff>133350</xdr:rowOff>
    </xdr:to>
    <xdr:sp>
      <xdr:nvSpPr>
        <xdr:cNvPr id="19" name="Прямая со стрелкой 24"/>
        <xdr:cNvSpPr>
          <a:spLocks/>
        </xdr:cNvSpPr>
      </xdr:nvSpPr>
      <xdr:spPr>
        <a:xfrm rot="5400000">
          <a:off x="2257425" y="923925"/>
          <a:ext cx="9525" cy="2400300"/>
        </a:xfrm>
        <a:prstGeom prst="straightConnector1">
          <a:avLst/>
        </a:prstGeom>
        <a:noFill/>
        <a:ln w="1587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47625</xdr:colOff>
      <xdr:row>4</xdr:row>
      <xdr:rowOff>19050</xdr:rowOff>
    </xdr:from>
    <xdr:to>
      <xdr:col>3</xdr:col>
      <xdr:colOff>66675</xdr:colOff>
      <xdr:row>19</xdr:row>
      <xdr:rowOff>66675</xdr:rowOff>
    </xdr:to>
    <xdr:sp>
      <xdr:nvSpPr>
        <xdr:cNvPr id="20" name="Прямая со стрелкой 31"/>
        <xdr:cNvSpPr>
          <a:spLocks/>
        </xdr:cNvSpPr>
      </xdr:nvSpPr>
      <xdr:spPr>
        <a:xfrm rot="5400000">
          <a:off x="1876425" y="923925"/>
          <a:ext cx="19050" cy="2905125"/>
        </a:xfrm>
        <a:prstGeom prst="straightConnector1">
          <a:avLst/>
        </a:prstGeom>
        <a:noFill/>
        <a:ln w="1587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295275</xdr:colOff>
      <xdr:row>4</xdr:row>
      <xdr:rowOff>9525</xdr:rowOff>
    </xdr:from>
    <xdr:to>
      <xdr:col>2</xdr:col>
      <xdr:colOff>304800</xdr:colOff>
      <xdr:row>23</xdr:row>
      <xdr:rowOff>133350</xdr:rowOff>
    </xdr:to>
    <xdr:sp>
      <xdr:nvSpPr>
        <xdr:cNvPr id="21" name="Прямая со стрелкой 34"/>
        <xdr:cNvSpPr>
          <a:spLocks/>
        </xdr:cNvSpPr>
      </xdr:nvSpPr>
      <xdr:spPr>
        <a:xfrm rot="5400000">
          <a:off x="1514475" y="914400"/>
          <a:ext cx="9525" cy="3743325"/>
        </a:xfrm>
        <a:prstGeom prst="straightConnector1">
          <a:avLst/>
        </a:prstGeom>
        <a:noFill/>
        <a:ln w="1587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514350</xdr:colOff>
      <xdr:row>4</xdr:row>
      <xdr:rowOff>19050</xdr:rowOff>
    </xdr:from>
    <xdr:to>
      <xdr:col>1</xdr:col>
      <xdr:colOff>514350</xdr:colOff>
      <xdr:row>27</xdr:row>
      <xdr:rowOff>133350</xdr:rowOff>
    </xdr:to>
    <xdr:sp>
      <xdr:nvSpPr>
        <xdr:cNvPr id="22" name="Прямая со стрелкой 39"/>
        <xdr:cNvSpPr>
          <a:spLocks/>
        </xdr:cNvSpPr>
      </xdr:nvSpPr>
      <xdr:spPr>
        <a:xfrm rot="5400000">
          <a:off x="1123950" y="923925"/>
          <a:ext cx="0" cy="4495800"/>
        </a:xfrm>
        <a:prstGeom prst="straightConnector1">
          <a:avLst/>
        </a:prstGeom>
        <a:noFill/>
        <a:ln w="1587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85725</xdr:colOff>
      <xdr:row>4</xdr:row>
      <xdr:rowOff>9525</xdr:rowOff>
    </xdr:from>
    <xdr:to>
      <xdr:col>1</xdr:col>
      <xdr:colOff>95250</xdr:colOff>
      <xdr:row>31</xdr:row>
      <xdr:rowOff>114300</xdr:rowOff>
    </xdr:to>
    <xdr:sp>
      <xdr:nvSpPr>
        <xdr:cNvPr id="23" name="Прямая со стрелкой 45"/>
        <xdr:cNvSpPr>
          <a:spLocks/>
        </xdr:cNvSpPr>
      </xdr:nvSpPr>
      <xdr:spPr>
        <a:xfrm rot="5400000">
          <a:off x="695325" y="914400"/>
          <a:ext cx="9525" cy="5248275"/>
        </a:xfrm>
        <a:prstGeom prst="straightConnector1">
          <a:avLst/>
        </a:prstGeom>
        <a:noFill/>
        <a:ln w="1587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438150</xdr:colOff>
      <xdr:row>36</xdr:row>
      <xdr:rowOff>9525</xdr:rowOff>
    </xdr:from>
    <xdr:to>
      <xdr:col>4</xdr:col>
      <xdr:colOff>238125</xdr:colOff>
      <xdr:row>36</xdr:row>
      <xdr:rowOff>9525</xdr:rowOff>
    </xdr:to>
    <xdr:sp>
      <xdr:nvSpPr>
        <xdr:cNvPr id="24" name="Прямая соединительная линия 50"/>
        <xdr:cNvSpPr>
          <a:spLocks/>
        </xdr:cNvSpPr>
      </xdr:nvSpPr>
      <xdr:spPr>
        <a:xfrm>
          <a:off x="2266950" y="7010400"/>
          <a:ext cx="4095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438150</xdr:colOff>
      <xdr:row>37</xdr:row>
      <xdr:rowOff>76200</xdr:rowOff>
    </xdr:from>
    <xdr:to>
      <xdr:col>4</xdr:col>
      <xdr:colOff>238125</xdr:colOff>
      <xdr:row>37</xdr:row>
      <xdr:rowOff>76200</xdr:rowOff>
    </xdr:to>
    <xdr:sp>
      <xdr:nvSpPr>
        <xdr:cNvPr id="25" name="Прямая соединительная линия 51"/>
        <xdr:cNvSpPr>
          <a:spLocks/>
        </xdr:cNvSpPr>
      </xdr:nvSpPr>
      <xdr:spPr>
        <a:xfrm>
          <a:off x="2266950" y="7267575"/>
          <a:ext cx="4095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514350</xdr:colOff>
      <xdr:row>36</xdr:row>
      <xdr:rowOff>9525</xdr:rowOff>
    </xdr:from>
    <xdr:to>
      <xdr:col>3</xdr:col>
      <xdr:colOff>523875</xdr:colOff>
      <xdr:row>37</xdr:row>
      <xdr:rowOff>76200</xdr:rowOff>
    </xdr:to>
    <xdr:sp>
      <xdr:nvSpPr>
        <xdr:cNvPr id="26" name="Прямая со стрелкой 52"/>
        <xdr:cNvSpPr>
          <a:spLocks/>
        </xdr:cNvSpPr>
      </xdr:nvSpPr>
      <xdr:spPr>
        <a:xfrm rot="5400000">
          <a:off x="2343150" y="7010400"/>
          <a:ext cx="9525" cy="257175"/>
        </a:xfrm>
        <a:prstGeom prst="straightConnector1">
          <a:avLst/>
        </a:prstGeom>
        <a:noFill/>
        <a:ln w="1587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200025</xdr:colOff>
      <xdr:row>38</xdr:row>
      <xdr:rowOff>9525</xdr:rowOff>
    </xdr:from>
    <xdr:to>
      <xdr:col>5</xdr:col>
      <xdr:colOff>0</xdr:colOff>
      <xdr:row>38</xdr:row>
      <xdr:rowOff>9525</xdr:rowOff>
    </xdr:to>
    <xdr:sp>
      <xdr:nvSpPr>
        <xdr:cNvPr id="27" name="Прямая соединительная линия 54"/>
        <xdr:cNvSpPr>
          <a:spLocks/>
        </xdr:cNvSpPr>
      </xdr:nvSpPr>
      <xdr:spPr>
        <a:xfrm>
          <a:off x="2638425" y="7391400"/>
          <a:ext cx="4095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200025</xdr:colOff>
      <xdr:row>37</xdr:row>
      <xdr:rowOff>76200</xdr:rowOff>
    </xdr:from>
    <xdr:to>
      <xdr:col>5</xdr:col>
      <xdr:colOff>0</xdr:colOff>
      <xdr:row>37</xdr:row>
      <xdr:rowOff>76200</xdr:rowOff>
    </xdr:to>
    <xdr:sp>
      <xdr:nvSpPr>
        <xdr:cNvPr id="28" name="Прямая соединительная линия 55"/>
        <xdr:cNvSpPr>
          <a:spLocks/>
        </xdr:cNvSpPr>
      </xdr:nvSpPr>
      <xdr:spPr>
        <a:xfrm>
          <a:off x="2638425" y="7267575"/>
          <a:ext cx="4095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552450</xdr:colOff>
      <xdr:row>36</xdr:row>
      <xdr:rowOff>171450</xdr:rowOff>
    </xdr:from>
    <xdr:to>
      <xdr:col>4</xdr:col>
      <xdr:colOff>561975</xdr:colOff>
      <xdr:row>38</xdr:row>
      <xdr:rowOff>114300</xdr:rowOff>
    </xdr:to>
    <xdr:sp>
      <xdr:nvSpPr>
        <xdr:cNvPr id="29" name="Прямая со стрелкой 56"/>
        <xdr:cNvSpPr>
          <a:spLocks/>
        </xdr:cNvSpPr>
      </xdr:nvSpPr>
      <xdr:spPr>
        <a:xfrm rot="5400000">
          <a:off x="2990850" y="7172325"/>
          <a:ext cx="9525" cy="323850"/>
        </a:xfrm>
        <a:prstGeom prst="straightConnector1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228600</xdr:colOff>
      <xdr:row>15</xdr:row>
      <xdr:rowOff>133350</xdr:rowOff>
    </xdr:from>
    <xdr:to>
      <xdr:col>5</xdr:col>
      <xdr:colOff>114300</xdr:colOff>
      <xdr:row>17</xdr:row>
      <xdr:rowOff>85725</xdr:rowOff>
    </xdr:to>
    <xdr:grpSp>
      <xdr:nvGrpSpPr>
        <xdr:cNvPr id="30" name="Группа 47"/>
        <xdr:cNvGrpSpPr>
          <a:grpSpLocks/>
        </xdr:cNvGrpSpPr>
      </xdr:nvGrpSpPr>
      <xdr:grpSpPr>
        <a:xfrm>
          <a:off x="2667000" y="3133725"/>
          <a:ext cx="495300" cy="333375"/>
          <a:chOff x="4876800" y="3182146"/>
          <a:chExt cx="500066" cy="333376"/>
        </a:xfrm>
        <a:solidFill>
          <a:srgbClr val="FFFFFF"/>
        </a:solidFill>
      </xdr:grpSpPr>
      <xdr:sp>
        <xdr:nvSpPr>
          <xdr:cNvPr id="31" name="Прямая соединительная линия 38"/>
          <xdr:cNvSpPr>
            <a:spLocks/>
          </xdr:cNvSpPr>
        </xdr:nvSpPr>
        <xdr:spPr>
          <a:xfrm>
            <a:off x="4876800" y="3467099"/>
            <a:ext cx="409554" cy="158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2" name="Прямая соединительная линия 40"/>
          <xdr:cNvSpPr>
            <a:spLocks/>
          </xdr:cNvSpPr>
        </xdr:nvSpPr>
        <xdr:spPr>
          <a:xfrm>
            <a:off x="4876800" y="3219484"/>
            <a:ext cx="409554" cy="158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3" name="Прямая со стрелкой 41"/>
          <xdr:cNvSpPr>
            <a:spLocks/>
          </xdr:cNvSpPr>
        </xdr:nvSpPr>
        <xdr:spPr>
          <a:xfrm rot="5400000">
            <a:off x="5043447" y="3348001"/>
            <a:ext cx="333419" cy="1584"/>
          </a:xfrm>
          <a:prstGeom prst="straightConnector1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4</xdr:col>
      <xdr:colOff>228600</xdr:colOff>
      <xdr:row>18</xdr:row>
      <xdr:rowOff>123825</xdr:rowOff>
    </xdr:from>
    <xdr:to>
      <xdr:col>5</xdr:col>
      <xdr:colOff>114300</xdr:colOff>
      <xdr:row>20</xdr:row>
      <xdr:rowOff>76200</xdr:rowOff>
    </xdr:to>
    <xdr:grpSp>
      <xdr:nvGrpSpPr>
        <xdr:cNvPr id="34" name="Группа 48"/>
        <xdr:cNvGrpSpPr>
          <a:grpSpLocks/>
        </xdr:cNvGrpSpPr>
      </xdr:nvGrpSpPr>
      <xdr:grpSpPr>
        <a:xfrm>
          <a:off x="2667000" y="3695700"/>
          <a:ext cx="495300" cy="333375"/>
          <a:chOff x="4876800" y="3182146"/>
          <a:chExt cx="500066" cy="333376"/>
        </a:xfrm>
        <a:solidFill>
          <a:srgbClr val="FFFFFF"/>
        </a:solidFill>
      </xdr:grpSpPr>
      <xdr:sp>
        <xdr:nvSpPr>
          <xdr:cNvPr id="35" name="Прямая соединительная линия 49"/>
          <xdr:cNvSpPr>
            <a:spLocks/>
          </xdr:cNvSpPr>
        </xdr:nvSpPr>
        <xdr:spPr>
          <a:xfrm>
            <a:off x="4876800" y="3448013"/>
            <a:ext cx="409554" cy="158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6" name="Прямая соединительная линия 53"/>
          <xdr:cNvSpPr>
            <a:spLocks/>
          </xdr:cNvSpPr>
        </xdr:nvSpPr>
        <xdr:spPr>
          <a:xfrm>
            <a:off x="4876800" y="3238487"/>
            <a:ext cx="409554" cy="158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7" name="Прямая со стрелкой 57"/>
          <xdr:cNvSpPr>
            <a:spLocks/>
          </xdr:cNvSpPr>
        </xdr:nvSpPr>
        <xdr:spPr>
          <a:xfrm rot="5400000">
            <a:off x="5043447" y="3348001"/>
            <a:ext cx="333419" cy="1584"/>
          </a:xfrm>
          <a:prstGeom prst="straightConnector1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4</xdr:col>
      <xdr:colOff>219075</xdr:colOff>
      <xdr:row>22</xdr:row>
      <xdr:rowOff>133350</xdr:rowOff>
    </xdr:from>
    <xdr:to>
      <xdr:col>5</xdr:col>
      <xdr:colOff>104775</xdr:colOff>
      <xdr:row>24</xdr:row>
      <xdr:rowOff>85725</xdr:rowOff>
    </xdr:to>
    <xdr:grpSp>
      <xdr:nvGrpSpPr>
        <xdr:cNvPr id="38" name="Группа 58"/>
        <xdr:cNvGrpSpPr>
          <a:grpSpLocks/>
        </xdr:cNvGrpSpPr>
      </xdr:nvGrpSpPr>
      <xdr:grpSpPr>
        <a:xfrm>
          <a:off x="2657475" y="4467225"/>
          <a:ext cx="495300" cy="333375"/>
          <a:chOff x="4876800" y="3182146"/>
          <a:chExt cx="500066" cy="333376"/>
        </a:xfrm>
        <a:solidFill>
          <a:srgbClr val="FFFFFF"/>
        </a:solidFill>
      </xdr:grpSpPr>
      <xdr:sp>
        <xdr:nvSpPr>
          <xdr:cNvPr id="39" name="Прямая соединительная линия 59"/>
          <xdr:cNvSpPr>
            <a:spLocks/>
          </xdr:cNvSpPr>
        </xdr:nvSpPr>
        <xdr:spPr>
          <a:xfrm>
            <a:off x="4876800" y="3448013"/>
            <a:ext cx="409554" cy="158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0" name="Прямая соединительная линия 60"/>
          <xdr:cNvSpPr>
            <a:spLocks/>
          </xdr:cNvSpPr>
        </xdr:nvSpPr>
        <xdr:spPr>
          <a:xfrm>
            <a:off x="4876800" y="3238487"/>
            <a:ext cx="409554" cy="158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1" name="Прямая со стрелкой 61"/>
          <xdr:cNvSpPr>
            <a:spLocks/>
          </xdr:cNvSpPr>
        </xdr:nvSpPr>
        <xdr:spPr>
          <a:xfrm rot="5400000">
            <a:off x="5043447" y="3348001"/>
            <a:ext cx="333419" cy="1584"/>
          </a:xfrm>
          <a:prstGeom prst="straightConnector1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4</xdr:col>
      <xdr:colOff>238125</xdr:colOff>
      <xdr:row>26</xdr:row>
      <xdr:rowOff>161925</xdr:rowOff>
    </xdr:from>
    <xdr:to>
      <xdr:col>5</xdr:col>
      <xdr:colOff>123825</xdr:colOff>
      <xdr:row>28</xdr:row>
      <xdr:rowOff>114300</xdr:rowOff>
    </xdr:to>
    <xdr:grpSp>
      <xdr:nvGrpSpPr>
        <xdr:cNvPr id="42" name="Группа 62"/>
        <xdr:cNvGrpSpPr>
          <a:grpSpLocks/>
        </xdr:cNvGrpSpPr>
      </xdr:nvGrpSpPr>
      <xdr:grpSpPr>
        <a:xfrm>
          <a:off x="2676525" y="5257800"/>
          <a:ext cx="495300" cy="333375"/>
          <a:chOff x="4876800" y="3182146"/>
          <a:chExt cx="500066" cy="333376"/>
        </a:xfrm>
        <a:solidFill>
          <a:srgbClr val="FFFFFF"/>
        </a:solidFill>
      </xdr:grpSpPr>
      <xdr:sp>
        <xdr:nvSpPr>
          <xdr:cNvPr id="43" name="Прямая соединительная линия 63"/>
          <xdr:cNvSpPr>
            <a:spLocks/>
          </xdr:cNvSpPr>
        </xdr:nvSpPr>
        <xdr:spPr>
          <a:xfrm>
            <a:off x="4876800" y="3448013"/>
            <a:ext cx="409554" cy="158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4" name="Прямая соединительная линия 64"/>
          <xdr:cNvSpPr>
            <a:spLocks/>
          </xdr:cNvSpPr>
        </xdr:nvSpPr>
        <xdr:spPr>
          <a:xfrm>
            <a:off x="4876800" y="3238487"/>
            <a:ext cx="409554" cy="158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5" name="Прямая со стрелкой 65"/>
          <xdr:cNvSpPr>
            <a:spLocks/>
          </xdr:cNvSpPr>
        </xdr:nvSpPr>
        <xdr:spPr>
          <a:xfrm rot="5400000">
            <a:off x="5043447" y="3348001"/>
            <a:ext cx="333419" cy="1584"/>
          </a:xfrm>
          <a:prstGeom prst="straightConnector1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4</xdr:col>
      <xdr:colOff>238125</xdr:colOff>
      <xdr:row>30</xdr:row>
      <xdr:rowOff>133350</xdr:rowOff>
    </xdr:from>
    <xdr:to>
      <xdr:col>5</xdr:col>
      <xdr:colOff>123825</xdr:colOff>
      <xdr:row>32</xdr:row>
      <xdr:rowOff>85725</xdr:rowOff>
    </xdr:to>
    <xdr:grpSp>
      <xdr:nvGrpSpPr>
        <xdr:cNvPr id="46" name="Группа 66"/>
        <xdr:cNvGrpSpPr>
          <a:grpSpLocks/>
        </xdr:cNvGrpSpPr>
      </xdr:nvGrpSpPr>
      <xdr:grpSpPr>
        <a:xfrm>
          <a:off x="2676525" y="5991225"/>
          <a:ext cx="495300" cy="333375"/>
          <a:chOff x="4876800" y="3182146"/>
          <a:chExt cx="500066" cy="333376"/>
        </a:xfrm>
        <a:solidFill>
          <a:srgbClr val="FFFFFF"/>
        </a:solidFill>
      </xdr:grpSpPr>
      <xdr:sp>
        <xdr:nvSpPr>
          <xdr:cNvPr id="47" name="Прямая соединительная линия 67"/>
          <xdr:cNvSpPr>
            <a:spLocks/>
          </xdr:cNvSpPr>
        </xdr:nvSpPr>
        <xdr:spPr>
          <a:xfrm>
            <a:off x="4876800" y="3448013"/>
            <a:ext cx="409554" cy="158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8" name="Прямая соединительная линия 68"/>
          <xdr:cNvSpPr>
            <a:spLocks/>
          </xdr:cNvSpPr>
        </xdr:nvSpPr>
        <xdr:spPr>
          <a:xfrm>
            <a:off x="4876800" y="3238487"/>
            <a:ext cx="409554" cy="158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9" name="Прямая со стрелкой 69"/>
          <xdr:cNvSpPr>
            <a:spLocks/>
          </xdr:cNvSpPr>
        </xdr:nvSpPr>
        <xdr:spPr>
          <a:xfrm rot="5400000">
            <a:off x="5043447" y="3348001"/>
            <a:ext cx="333419" cy="1584"/>
          </a:xfrm>
          <a:prstGeom prst="straightConnector1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4</xdr:col>
      <xdr:colOff>66675</xdr:colOff>
      <xdr:row>2</xdr:row>
      <xdr:rowOff>114300</xdr:rowOff>
    </xdr:from>
    <xdr:to>
      <xdr:col>4</xdr:col>
      <xdr:colOff>66675</xdr:colOff>
      <xdr:row>4</xdr:row>
      <xdr:rowOff>9525</xdr:rowOff>
    </xdr:to>
    <xdr:sp>
      <xdr:nvSpPr>
        <xdr:cNvPr id="50" name="Прямая со стрелкой 70"/>
        <xdr:cNvSpPr>
          <a:spLocks/>
        </xdr:cNvSpPr>
      </xdr:nvSpPr>
      <xdr:spPr>
        <a:xfrm rot="16200000" flipH="1">
          <a:off x="2505075" y="638175"/>
          <a:ext cx="0" cy="276225"/>
        </a:xfrm>
        <a:prstGeom prst="straightConnector1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438150</xdr:colOff>
      <xdr:row>2</xdr:row>
      <xdr:rowOff>114300</xdr:rowOff>
    </xdr:from>
    <xdr:to>
      <xdr:col>4</xdr:col>
      <xdr:colOff>438150</xdr:colOff>
      <xdr:row>4</xdr:row>
      <xdr:rowOff>9525</xdr:rowOff>
    </xdr:to>
    <xdr:sp>
      <xdr:nvSpPr>
        <xdr:cNvPr id="51" name="Прямая со стрелкой 74"/>
        <xdr:cNvSpPr>
          <a:spLocks/>
        </xdr:cNvSpPr>
      </xdr:nvSpPr>
      <xdr:spPr>
        <a:xfrm rot="16200000" flipH="1">
          <a:off x="2876550" y="638175"/>
          <a:ext cx="0" cy="276225"/>
        </a:xfrm>
        <a:prstGeom prst="straightConnector1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85725</xdr:colOff>
      <xdr:row>3</xdr:row>
      <xdr:rowOff>28575</xdr:rowOff>
    </xdr:from>
    <xdr:to>
      <xdr:col>4</xdr:col>
      <xdr:colOff>419100</xdr:colOff>
      <xdr:row>3</xdr:row>
      <xdr:rowOff>28575</xdr:rowOff>
    </xdr:to>
    <xdr:sp>
      <xdr:nvSpPr>
        <xdr:cNvPr id="52" name="Прямая со стрелкой 75"/>
        <xdr:cNvSpPr>
          <a:spLocks/>
        </xdr:cNvSpPr>
      </xdr:nvSpPr>
      <xdr:spPr>
        <a:xfrm rot="5400000">
          <a:off x="2524125" y="742950"/>
          <a:ext cx="333375" cy="0"/>
        </a:xfrm>
        <a:prstGeom prst="straightConnector1">
          <a:avLst/>
        </a:prstGeom>
        <a:noFill/>
        <a:ln w="1587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219075</xdr:colOff>
      <xdr:row>4</xdr:row>
      <xdr:rowOff>104775</xdr:rowOff>
    </xdr:from>
    <xdr:to>
      <xdr:col>5</xdr:col>
      <xdr:colOff>9525</xdr:colOff>
      <xdr:row>4</xdr:row>
      <xdr:rowOff>104775</xdr:rowOff>
    </xdr:to>
    <xdr:sp>
      <xdr:nvSpPr>
        <xdr:cNvPr id="53" name="Прямая со стрелкой 76"/>
        <xdr:cNvSpPr>
          <a:spLocks/>
        </xdr:cNvSpPr>
      </xdr:nvSpPr>
      <xdr:spPr>
        <a:xfrm rot="10800000" flipV="1">
          <a:off x="2657475" y="1009650"/>
          <a:ext cx="400050" cy="0"/>
        </a:xfrm>
        <a:prstGeom prst="straightConnector1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581025</xdr:colOff>
      <xdr:row>3</xdr:row>
      <xdr:rowOff>114300</xdr:rowOff>
    </xdr:from>
    <xdr:to>
      <xdr:col>4</xdr:col>
      <xdr:colOff>581025</xdr:colOff>
      <xdr:row>5</xdr:row>
      <xdr:rowOff>9525</xdr:rowOff>
    </xdr:to>
    <xdr:sp>
      <xdr:nvSpPr>
        <xdr:cNvPr id="54" name="Прямая со стрелкой 80"/>
        <xdr:cNvSpPr>
          <a:spLocks/>
        </xdr:cNvSpPr>
      </xdr:nvSpPr>
      <xdr:spPr>
        <a:xfrm rot="16200000" flipH="1">
          <a:off x="3019425" y="828675"/>
          <a:ext cx="0" cy="276225"/>
        </a:xfrm>
        <a:prstGeom prst="straightConnector1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showGridLines="0" zoomScalePageLayoutView="0" workbookViewId="0" topLeftCell="A1">
      <selection activeCell="E30" sqref="E30"/>
    </sheetView>
  </sheetViews>
  <sheetFormatPr defaultColWidth="9.140625" defaultRowHeight="15"/>
  <cols>
    <col min="1" max="16384" width="9.140625" style="10" customWidth="1"/>
  </cols>
  <sheetData>
    <row r="1" spans="1:10" ht="15">
      <c r="A1" s="7"/>
      <c r="B1" s="8" t="s">
        <v>93</v>
      </c>
      <c r="C1" s="7"/>
      <c r="D1" s="7"/>
      <c r="E1" s="7"/>
      <c r="F1" s="7"/>
      <c r="G1" s="7"/>
      <c r="H1" s="7"/>
      <c r="I1" s="7"/>
      <c r="J1" s="9"/>
    </row>
    <row r="2" spans="1:10" ht="15">
      <c r="A2" s="7"/>
      <c r="B2" s="7"/>
      <c r="C2" s="7"/>
      <c r="D2" s="7"/>
      <c r="E2" s="7"/>
      <c r="F2" s="7"/>
      <c r="G2" s="7"/>
      <c r="H2" s="7"/>
      <c r="I2" s="7"/>
      <c r="J2" s="9"/>
    </row>
    <row r="3" spans="1:10" ht="15">
      <c r="A3" s="56" t="s">
        <v>39</v>
      </c>
      <c r="B3" s="57"/>
      <c r="C3" s="11">
        <v>344400</v>
      </c>
      <c r="D3" s="7" t="s">
        <v>4</v>
      </c>
      <c r="E3" s="57" t="s">
        <v>39</v>
      </c>
      <c r="F3" s="57"/>
      <c r="G3" s="11">
        <v>344400</v>
      </c>
      <c r="H3" s="7" t="s">
        <v>4</v>
      </c>
      <c r="I3" s="54"/>
      <c r="J3" s="55"/>
    </row>
    <row r="4" spans="1:10" ht="15">
      <c r="A4" s="56" t="s">
        <v>0</v>
      </c>
      <c r="B4" s="57"/>
      <c r="C4" s="11">
        <v>634</v>
      </c>
      <c r="D4" s="7" t="s">
        <v>5</v>
      </c>
      <c r="E4" s="57" t="s">
        <v>3</v>
      </c>
      <c r="F4" s="57"/>
      <c r="G4" s="11">
        <v>246.94</v>
      </c>
      <c r="H4" s="7" t="s">
        <v>6</v>
      </c>
      <c r="I4" s="54"/>
      <c r="J4" s="55"/>
    </row>
    <row r="5" spans="1:10" ht="15">
      <c r="A5" s="56" t="s">
        <v>7</v>
      </c>
      <c r="B5" s="57"/>
      <c r="C5" s="12">
        <v>2.20031</v>
      </c>
      <c r="D5" s="13"/>
      <c r="E5" s="57" t="s">
        <v>7</v>
      </c>
      <c r="F5" s="57"/>
      <c r="G5" s="12">
        <v>2.20031</v>
      </c>
      <c r="H5" s="13"/>
      <c r="I5" s="54"/>
      <c r="J5" s="55"/>
    </row>
    <row r="6" spans="1:10" ht="15">
      <c r="A6" s="58" t="s">
        <v>3</v>
      </c>
      <c r="B6" s="59"/>
      <c r="C6" s="14">
        <f>C3/(C4*C5)</f>
        <v>246.8823327690834</v>
      </c>
      <c r="D6" s="7" t="s">
        <v>6</v>
      </c>
      <c r="E6" s="59" t="s">
        <v>0</v>
      </c>
      <c r="F6" s="59"/>
      <c r="G6" s="15">
        <f>G3/G4/G5</f>
        <v>633.8519436932004</v>
      </c>
      <c r="H6" s="7" t="s">
        <v>5</v>
      </c>
      <c r="I6" s="54"/>
      <c r="J6" s="55"/>
    </row>
    <row r="7" spans="1:10" ht="15">
      <c r="A7" s="16"/>
      <c r="B7" s="13"/>
      <c r="C7" s="13"/>
      <c r="D7" s="13"/>
      <c r="E7" s="13"/>
      <c r="F7" s="13"/>
      <c r="G7" s="13"/>
      <c r="H7" s="13"/>
      <c r="I7" s="13"/>
      <c r="J7" s="17"/>
    </row>
    <row r="9" spans="1:10" ht="15">
      <c r="A9" s="18"/>
      <c r="B9" s="19"/>
      <c r="C9" s="19"/>
      <c r="D9" s="20"/>
      <c r="F9" s="18"/>
      <c r="G9" s="19"/>
      <c r="H9" s="19"/>
      <c r="I9" s="19"/>
      <c r="J9" s="20"/>
    </row>
    <row r="10" spans="1:10" ht="15">
      <c r="A10" s="21" t="s">
        <v>92</v>
      </c>
      <c r="B10" s="7"/>
      <c r="C10" s="7"/>
      <c r="D10" s="9"/>
      <c r="F10" s="22"/>
      <c r="G10" s="7"/>
      <c r="H10" s="7"/>
      <c r="I10" s="8" t="s">
        <v>91</v>
      </c>
      <c r="J10" s="9"/>
    </row>
    <row r="11" spans="1:10" ht="15">
      <c r="A11" s="22"/>
      <c r="B11" s="7"/>
      <c r="C11" s="7"/>
      <c r="D11" s="9"/>
      <c r="F11" s="22"/>
      <c r="G11" s="7"/>
      <c r="H11" s="7"/>
      <c r="J11" s="9"/>
    </row>
    <row r="12" spans="1:10" ht="15">
      <c r="A12" s="64" t="s">
        <v>9</v>
      </c>
      <c r="B12" s="65"/>
      <c r="C12" s="23">
        <v>21</v>
      </c>
      <c r="D12" s="17" t="s">
        <v>5</v>
      </c>
      <c r="F12" s="22"/>
      <c r="G12" s="7"/>
      <c r="H12" s="7"/>
      <c r="I12" s="7"/>
      <c r="J12" s="9"/>
    </row>
    <row r="13" spans="1:10" ht="15">
      <c r="A13" s="62" t="s">
        <v>0</v>
      </c>
      <c r="B13" s="63"/>
      <c r="C13" s="24">
        <f>17*POWER(C12,6/5)</f>
        <v>656.3146145491581</v>
      </c>
      <c r="D13" s="9" t="s">
        <v>5</v>
      </c>
      <c r="F13" s="22"/>
      <c r="G13" s="7"/>
      <c r="H13" s="7"/>
      <c r="I13" s="7"/>
      <c r="J13" s="9"/>
    </row>
    <row r="14" spans="1:10" ht="15">
      <c r="A14" s="62" t="s">
        <v>2</v>
      </c>
      <c r="B14" s="63"/>
      <c r="C14" s="25">
        <f>POWER(C12,4/5)</f>
        <v>11.42287530066645</v>
      </c>
      <c r="D14" s="9" t="s">
        <v>5</v>
      </c>
      <c r="F14" s="22"/>
      <c r="G14" s="7"/>
      <c r="H14" s="7"/>
      <c r="I14" s="7"/>
      <c r="J14" s="9"/>
    </row>
    <row r="15" spans="1:10" ht="15">
      <c r="A15" s="22"/>
      <c r="B15" s="7"/>
      <c r="C15" s="26"/>
      <c r="D15" s="9"/>
      <c r="F15" s="22"/>
      <c r="G15" s="7"/>
      <c r="H15" s="7"/>
      <c r="I15" s="7"/>
      <c r="J15" s="9"/>
    </row>
    <row r="16" spans="1:10" ht="15">
      <c r="A16" s="22"/>
      <c r="B16" s="7"/>
      <c r="C16" s="26"/>
      <c r="D16" s="9"/>
      <c r="F16" s="22"/>
      <c r="G16" s="7"/>
      <c r="H16" s="7"/>
      <c r="I16" s="7"/>
      <c r="J16" s="9"/>
    </row>
    <row r="17" spans="1:10" ht="15">
      <c r="A17" s="64" t="s">
        <v>0</v>
      </c>
      <c r="B17" s="65"/>
      <c r="C17" s="23">
        <v>656</v>
      </c>
      <c r="D17" s="17" t="s">
        <v>5</v>
      </c>
      <c r="F17" s="60" t="s">
        <v>9</v>
      </c>
      <c r="G17" s="61"/>
      <c r="H17" s="27">
        <v>21</v>
      </c>
      <c r="I17" s="13" t="s">
        <v>5</v>
      </c>
      <c r="J17" s="9"/>
    </row>
    <row r="18" spans="1:10" ht="15">
      <c r="A18" s="62" t="s">
        <v>9</v>
      </c>
      <c r="B18" s="63"/>
      <c r="C18" s="24">
        <f>POWER(C17/17,5/6)</f>
        <v>20.991610769487274</v>
      </c>
      <c r="D18" s="9" t="s">
        <v>5</v>
      </c>
      <c r="F18" s="28"/>
      <c r="G18" s="29" t="s">
        <v>90</v>
      </c>
      <c r="H18" s="25">
        <f>H17*3.14/4</f>
        <v>16.485</v>
      </c>
      <c r="I18" s="7" t="s">
        <v>5</v>
      </c>
      <c r="J18" s="9"/>
    </row>
    <row r="19" spans="1:10" ht="15">
      <c r="A19" s="62" t="s">
        <v>2</v>
      </c>
      <c r="B19" s="63"/>
      <c r="C19" s="25">
        <f>POWER(C17/17,2/3)</f>
        <v>11.419224521128227</v>
      </c>
      <c r="D19" s="9" t="s">
        <v>5</v>
      </c>
      <c r="F19" s="28"/>
      <c r="G19" s="29" t="s">
        <v>89</v>
      </c>
      <c r="H19" s="25">
        <f>H18/5</f>
        <v>3.2969999999999997</v>
      </c>
      <c r="I19" s="7" t="s">
        <v>5</v>
      </c>
      <c r="J19" s="9"/>
    </row>
    <row r="20" spans="1:10" ht="15">
      <c r="A20" s="16"/>
      <c r="B20" s="13"/>
      <c r="C20" s="13"/>
      <c r="D20" s="17"/>
      <c r="F20" s="16"/>
      <c r="G20" s="13"/>
      <c r="H20" s="13"/>
      <c r="I20" s="13"/>
      <c r="J20" s="17"/>
    </row>
    <row r="23" ht="18.75">
      <c r="A23" s="48" t="s">
        <v>94</v>
      </c>
    </row>
    <row r="25" ht="15">
      <c r="A25" s="10" t="s">
        <v>96</v>
      </c>
    </row>
    <row r="26" ht="15">
      <c r="A26" s="10" t="s">
        <v>95</v>
      </c>
    </row>
    <row r="28" ht="15">
      <c r="A28" s="10" t="s">
        <v>97</v>
      </c>
    </row>
    <row r="29" ht="15">
      <c r="A29" s="10" t="s">
        <v>98</v>
      </c>
    </row>
  </sheetData>
  <sheetProtection password="D472" sheet="1"/>
  <mergeCells count="19">
    <mergeCell ref="E5:F5"/>
    <mergeCell ref="E6:F6"/>
    <mergeCell ref="F17:G17"/>
    <mergeCell ref="A14:B14"/>
    <mergeCell ref="A19:B19"/>
    <mergeCell ref="A17:B17"/>
    <mergeCell ref="A18:B18"/>
    <mergeCell ref="A12:B12"/>
    <mergeCell ref="A13:B13"/>
    <mergeCell ref="I3:J3"/>
    <mergeCell ref="I4:J4"/>
    <mergeCell ref="I5:J5"/>
    <mergeCell ref="I6:J6"/>
    <mergeCell ref="A3:B3"/>
    <mergeCell ref="A4:B4"/>
    <mergeCell ref="A5:B5"/>
    <mergeCell ref="A6:B6"/>
    <mergeCell ref="E3:F3"/>
    <mergeCell ref="E4:F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6"/>
  <sheetViews>
    <sheetView showGridLines="0" tabSelected="1" zoomScalePageLayoutView="0" workbookViewId="0" topLeftCell="A1">
      <selection activeCell="L28" sqref="L28"/>
    </sheetView>
  </sheetViews>
  <sheetFormatPr defaultColWidth="9.140625" defaultRowHeight="15"/>
  <cols>
    <col min="1" max="7" width="9.140625" style="10" customWidth="1"/>
    <col min="8" max="8" width="9.57421875" style="10" bestFit="1" customWidth="1"/>
    <col min="9" max="16384" width="9.140625" style="10" customWidth="1"/>
  </cols>
  <sheetData>
    <row r="1" spans="1:9" ht="15">
      <c r="A1" s="69" t="s">
        <v>8</v>
      </c>
      <c r="B1" s="69"/>
      <c r="C1" s="69"/>
      <c r="D1" s="30">
        <v>533</v>
      </c>
      <c r="E1" s="31" t="s">
        <v>5</v>
      </c>
      <c r="F1" s="71" t="s">
        <v>88</v>
      </c>
      <c r="G1" s="71"/>
      <c r="H1" s="32">
        <f>156521/TL</f>
        <v>293.66041275797375</v>
      </c>
      <c r="I1" s="33" t="s">
        <v>6</v>
      </c>
    </row>
    <row r="2" spans="1:12" ht="15">
      <c r="A2" s="69" t="s">
        <v>9</v>
      </c>
      <c r="B2" s="69"/>
      <c r="C2" s="69"/>
      <c r="D2" s="34">
        <v>21</v>
      </c>
      <c r="E2" s="31" t="s">
        <v>5</v>
      </c>
      <c r="F2" s="71" t="s">
        <v>38</v>
      </c>
      <c r="G2" s="71"/>
      <c r="H2" s="32">
        <f>2.858*POWER(TL,5/6)/Db</f>
        <v>25.47508278064602</v>
      </c>
      <c r="J2" s="36" t="s">
        <v>40</v>
      </c>
      <c r="K2" s="37">
        <f>HoleLocation1-HoleLocation2</f>
        <v>51.31743687381635</v>
      </c>
      <c r="L2" s="10" t="s">
        <v>87</v>
      </c>
    </row>
    <row r="3" spans="1:12" ht="15">
      <c r="A3" s="69" t="s">
        <v>1</v>
      </c>
      <c r="B3" s="69"/>
      <c r="C3" s="69"/>
      <c r="D3" s="34">
        <v>5.4</v>
      </c>
      <c r="E3" s="31" t="s">
        <v>5</v>
      </c>
      <c r="F3" s="66" t="s">
        <v>10</v>
      </c>
      <c r="G3" s="66"/>
      <c r="H3" s="35">
        <v>165674</v>
      </c>
      <c r="J3" s="38" t="s">
        <v>48</v>
      </c>
      <c r="K3" s="39">
        <f>HoleLocation2-HoleLocation3</f>
        <v>45.58921468511642</v>
      </c>
      <c r="L3" s="40" t="s">
        <v>5</v>
      </c>
    </row>
    <row r="4" spans="1:12" ht="15">
      <c r="A4" s="70"/>
      <c r="B4" s="70"/>
      <c r="C4" s="70"/>
      <c r="D4" s="41"/>
      <c r="E4" s="42"/>
      <c r="F4" s="66" t="s">
        <v>11</v>
      </c>
      <c r="G4" s="66"/>
      <c r="H4" s="35">
        <f>BigNum/BaseNote</f>
        <v>564.1686546853138</v>
      </c>
      <c r="J4" s="36" t="s">
        <v>41</v>
      </c>
      <c r="K4" s="37">
        <f>HoleLocation3-HoleLocation4</f>
        <v>60.99056448707654</v>
      </c>
      <c r="L4" s="10" t="s">
        <v>87</v>
      </c>
    </row>
    <row r="5" spans="1:12" ht="15">
      <c r="A5" s="70" t="s">
        <v>49</v>
      </c>
      <c r="B5" s="70"/>
      <c r="C5" s="70"/>
      <c r="D5" s="25">
        <f>EAR/12</f>
        <v>2.122923565053835</v>
      </c>
      <c r="E5" s="42" t="s">
        <v>86</v>
      </c>
      <c r="F5" s="66" t="s">
        <v>12</v>
      </c>
      <c r="G5" s="66"/>
      <c r="H5" s="35">
        <f>TubeLength-(0.3*Db)-TL</f>
        <v>24.8686546853138</v>
      </c>
      <c r="J5" s="36" t="s">
        <v>42</v>
      </c>
      <c r="K5" s="37">
        <f>HoleLocation4-HoleLocation5</f>
        <v>32.38109662915167</v>
      </c>
      <c r="L5" s="10" t="s">
        <v>87</v>
      </c>
    </row>
    <row r="7" spans="1:15" s="40" customFormat="1" ht="15">
      <c r="A7" s="66" t="s">
        <v>43</v>
      </c>
      <c r="B7" s="66"/>
      <c r="C7" s="43">
        <f>Wt+(0.75*Dh_1)</f>
        <v>14.4</v>
      </c>
      <c r="D7" s="66" t="s">
        <v>44</v>
      </c>
      <c r="E7" s="66"/>
      <c r="F7" s="43">
        <f>Wt+(0.75*Dh_2)</f>
        <v>14.4</v>
      </c>
      <c r="G7" s="66" t="s">
        <v>45</v>
      </c>
      <c r="H7" s="66"/>
      <c r="I7" s="43">
        <f>Wt+(0.75*Dh_3)</f>
        <v>14.4</v>
      </c>
      <c r="J7" s="66" t="s">
        <v>46</v>
      </c>
      <c r="K7" s="66"/>
      <c r="L7" s="43">
        <f>Wt+(0.75*Dh_4)</f>
        <v>14.4</v>
      </c>
      <c r="M7" s="66" t="s">
        <v>47</v>
      </c>
      <c r="N7" s="66"/>
      <c r="O7" s="43">
        <f>Wt+(0.75*Dh_5)</f>
        <v>14.4</v>
      </c>
    </row>
    <row r="8" spans="1:15" s="31" customFormat="1" ht="15">
      <c r="A8" s="67" t="s">
        <v>101</v>
      </c>
      <c r="B8" s="67"/>
      <c r="C8" s="44">
        <v>12</v>
      </c>
      <c r="D8" s="68" t="s">
        <v>102</v>
      </c>
      <c r="E8" s="67"/>
      <c r="F8" s="44">
        <v>12</v>
      </c>
      <c r="G8" s="67" t="s">
        <v>103</v>
      </c>
      <c r="H8" s="67"/>
      <c r="I8" s="44">
        <v>12</v>
      </c>
      <c r="J8" s="67" t="s">
        <v>104</v>
      </c>
      <c r="K8" s="67"/>
      <c r="L8" s="44">
        <v>12</v>
      </c>
      <c r="M8" s="67" t="s">
        <v>105</v>
      </c>
      <c r="N8" s="67"/>
      <c r="O8" s="44">
        <v>12</v>
      </c>
    </row>
    <row r="9" spans="1:15" ht="15">
      <c r="A9" s="69" t="s">
        <v>50</v>
      </c>
      <c r="B9" s="69"/>
      <c r="C9" s="44">
        <v>3</v>
      </c>
      <c r="D9" s="69" t="s">
        <v>51</v>
      </c>
      <c r="E9" s="69"/>
      <c r="F9" s="44">
        <v>2</v>
      </c>
      <c r="G9" s="69" t="s">
        <v>52</v>
      </c>
      <c r="H9" s="69"/>
      <c r="I9" s="44">
        <v>2</v>
      </c>
      <c r="J9" s="69" t="s">
        <v>53</v>
      </c>
      <c r="K9" s="69"/>
      <c r="L9" s="44">
        <v>3</v>
      </c>
      <c r="M9" s="69" t="s">
        <v>54</v>
      </c>
      <c r="N9" s="69"/>
      <c r="O9" s="44">
        <v>2</v>
      </c>
    </row>
    <row r="10" spans="1:15" ht="15">
      <c r="A10" s="66" t="s">
        <v>13</v>
      </c>
      <c r="B10" s="66"/>
      <c r="C10" s="45">
        <f>TubeLength</f>
        <v>564.1686546853138</v>
      </c>
      <c r="D10" s="66" t="s">
        <v>18</v>
      </c>
      <c r="E10" s="66"/>
      <c r="F10" s="45">
        <f>NewLength1+CF_1</f>
        <v>506.8102893062749</v>
      </c>
      <c r="G10" s="66" t="s">
        <v>23</v>
      </c>
      <c r="H10" s="66"/>
      <c r="I10" s="45">
        <f>NewLength2+CF_2</f>
        <v>454.6108154003115</v>
      </c>
      <c r="J10" s="66" t="s">
        <v>28</v>
      </c>
      <c r="K10" s="66"/>
      <c r="L10" s="45">
        <f>NewLength3+CF_3</f>
        <v>407.97694696587416</v>
      </c>
      <c r="M10" s="66" t="s">
        <v>29</v>
      </c>
      <c r="N10" s="66"/>
      <c r="O10" s="45">
        <f>NewLength4+CF_4</f>
        <v>349.1506104355226</v>
      </c>
    </row>
    <row r="11" spans="1:15" ht="15">
      <c r="A11" s="66" t="s">
        <v>14</v>
      </c>
      <c r="B11" s="66"/>
      <c r="C11" s="45">
        <f>BaseNote*POWER(2,Temp1/12)</f>
        <v>349.2230522464182</v>
      </c>
      <c r="D11" s="66" t="s">
        <v>19</v>
      </c>
      <c r="E11" s="66"/>
      <c r="F11" s="45">
        <f>Hz_1*POWER(2,Temp2/12)</f>
        <v>391.98962254136575</v>
      </c>
      <c r="G11" s="66" t="s">
        <v>24</v>
      </c>
      <c r="H11" s="66"/>
      <c r="I11" s="45">
        <f>Hz_2*POWER(2,Temp3/12)</f>
        <v>439.9934746337994</v>
      </c>
      <c r="J11" s="66" t="s">
        <v>30</v>
      </c>
      <c r="K11" s="66"/>
      <c r="L11" s="45">
        <f>Hz_3*POWER(2,Temp4/12)</f>
        <v>523.2433705892835</v>
      </c>
      <c r="M11" s="66" t="s">
        <v>31</v>
      </c>
      <c r="N11" s="66"/>
      <c r="O11" s="45">
        <f>Hz_4*POWER(2,Temp5/12)</f>
        <v>587.3208255159475</v>
      </c>
    </row>
    <row r="12" spans="1:15" ht="15">
      <c r="A12" s="66" t="s">
        <v>15</v>
      </c>
      <c r="B12" s="66"/>
      <c r="C12" s="45">
        <f>BigNum/Hz_1</f>
        <v>474.40739932339113</v>
      </c>
      <c r="D12" s="66" t="s">
        <v>20</v>
      </c>
      <c r="E12" s="66"/>
      <c r="F12" s="45">
        <f>BigNum/Hz_2</f>
        <v>422.64894393350124</v>
      </c>
      <c r="G12" s="66" t="s">
        <v>25</v>
      </c>
      <c r="H12" s="66"/>
      <c r="I12" s="45">
        <f>BigNum/Hz_3</f>
        <v>376.5374023737244</v>
      </c>
      <c r="J12" s="66" t="s">
        <v>32</v>
      </c>
      <c r="K12" s="66"/>
      <c r="L12" s="45">
        <f>BigNum/Hz_4</f>
        <v>316.6289518650103</v>
      </c>
      <c r="M12" s="66" t="s">
        <v>33</v>
      </c>
      <c r="N12" s="66"/>
      <c r="O12" s="45">
        <f>BigNum/Hz_5</f>
        <v>282.0843273426569</v>
      </c>
    </row>
    <row r="13" spans="1:15" ht="15">
      <c r="A13" s="66" t="s">
        <v>16</v>
      </c>
      <c r="B13" s="66"/>
      <c r="C13" s="45">
        <f>(LastLength1-NewLength1)/2</f>
        <v>44.88062768096131</v>
      </c>
      <c r="D13" s="66" t="s">
        <v>21</v>
      </c>
      <c r="E13" s="66"/>
      <c r="F13" s="45">
        <f>(LastLength2-NewLength2)/2</f>
        <v>42.08067268638683</v>
      </c>
      <c r="G13" s="66" t="s">
        <v>26</v>
      </c>
      <c r="H13" s="66"/>
      <c r="I13" s="45">
        <f>(LastLength3-NewLength3)/2</f>
        <v>39.03670651329355</v>
      </c>
      <c r="J13" s="66" t="s">
        <v>34</v>
      </c>
      <c r="K13" s="66"/>
      <c r="L13" s="45">
        <f>(LastLength4-NewLength4)/2</f>
        <v>45.67399755043192</v>
      </c>
      <c r="M13" s="66" t="s">
        <v>35</v>
      </c>
      <c r="N13" s="66"/>
      <c r="O13" s="45">
        <f>(LastLength5-NewLength5)/2</f>
        <v>33.53314154643286</v>
      </c>
    </row>
    <row r="14" spans="1:15" ht="15">
      <c r="A14" s="72" t="s">
        <v>17</v>
      </c>
      <c r="B14" s="72"/>
      <c r="C14" s="46">
        <f>S_1*((POWER((((Te_1/S_1)*POWER(Db/Dh_1,2))*2)+1,0.5))-1)</f>
        <v>32.40288998288379</v>
      </c>
      <c r="D14" s="72" t="s">
        <v>22</v>
      </c>
      <c r="E14" s="72"/>
      <c r="F14" s="46">
        <f>S_2*((POWER((((Te_2/S_2)*POWER(Db/Dh_2,2))*2)+1,0.5))-1)</f>
        <v>31.961871466810265</v>
      </c>
      <c r="G14" s="72" t="s">
        <v>27</v>
      </c>
      <c r="H14" s="72"/>
      <c r="I14" s="46">
        <f>S_3*((POWER((((Te_3/S_3)*POWER(Db/Dh_3,2))*2)+1,0.5))-1)</f>
        <v>31.439544592149808</v>
      </c>
      <c r="J14" s="72" t="s">
        <v>36</v>
      </c>
      <c r="K14" s="72"/>
      <c r="L14" s="46">
        <f>S_4*((POWER((((Te_4/S_4)*POWER(Db/Dh_4,2))*2)+1,0.5))-1)</f>
        <v>32.52165857051227</v>
      </c>
      <c r="M14" s="72" t="s">
        <v>37</v>
      </c>
      <c r="N14" s="72"/>
      <c r="O14" s="46">
        <f>S_5*((POWER((((Te_5/S_5)*POWER(Db/Dh_5,2))*2)+1,0.5))-1)</f>
        <v>30.358130677310495</v>
      </c>
    </row>
    <row r="15" spans="1:15" ht="15">
      <c r="A15" s="73" t="s">
        <v>55</v>
      </c>
      <c r="B15" s="73"/>
      <c r="C15" s="47">
        <f>NewLength1-MEL-CF_1</f>
        <v>417.13585465519355</v>
      </c>
      <c r="D15" s="73" t="s">
        <v>56</v>
      </c>
      <c r="E15" s="73"/>
      <c r="F15" s="47">
        <f>NewLength2-MEL-CF_2</f>
        <v>365.8184177813772</v>
      </c>
      <c r="G15" s="73" t="s">
        <v>57</v>
      </c>
      <c r="H15" s="73"/>
      <c r="I15" s="47">
        <f>NewLength3-MEL-CF_3</f>
        <v>320.2292030962608</v>
      </c>
      <c r="J15" s="73" t="s">
        <v>58</v>
      </c>
      <c r="K15" s="73"/>
      <c r="L15" s="47">
        <f>NewLength4-MEL-CF_4</f>
        <v>259.23863860918425</v>
      </c>
      <c r="M15" s="73" t="s">
        <v>59</v>
      </c>
      <c r="N15" s="73"/>
      <c r="O15" s="47">
        <f>NewLength5-MEL-CF_5</f>
        <v>226.85754198003258</v>
      </c>
    </row>
    <row r="18" ht="18.75">
      <c r="A18" s="48" t="s">
        <v>99</v>
      </c>
    </row>
    <row r="20" ht="15">
      <c r="A20" s="10" t="s">
        <v>106</v>
      </c>
    </row>
    <row r="21" ht="15">
      <c r="A21" s="10" t="s">
        <v>100</v>
      </c>
    </row>
    <row r="22" ht="15">
      <c r="A22" s="10" t="s">
        <v>107</v>
      </c>
    </row>
    <row r="23" ht="15">
      <c r="A23" s="10" t="s">
        <v>108</v>
      </c>
    </row>
    <row r="24" ht="15">
      <c r="A24" s="10" t="s">
        <v>109</v>
      </c>
    </row>
    <row r="25" ht="15">
      <c r="A25" s="10" t="s">
        <v>111</v>
      </c>
    </row>
    <row r="26" ht="15">
      <c r="A26" s="10" t="s">
        <v>110</v>
      </c>
    </row>
  </sheetData>
  <sheetProtection password="D472" sheet="1"/>
  <mergeCells count="55">
    <mergeCell ref="M15:N15"/>
    <mergeCell ref="M9:N9"/>
    <mergeCell ref="M10:N10"/>
    <mergeCell ref="M11:N11"/>
    <mergeCell ref="M12:N12"/>
    <mergeCell ref="M13:N13"/>
    <mergeCell ref="M14:N14"/>
    <mergeCell ref="G15:H15"/>
    <mergeCell ref="J9:K9"/>
    <mergeCell ref="J10:K10"/>
    <mergeCell ref="J11:K11"/>
    <mergeCell ref="J12:K12"/>
    <mergeCell ref="J13:K13"/>
    <mergeCell ref="J14:K14"/>
    <mergeCell ref="J15:K15"/>
    <mergeCell ref="G9:H9"/>
    <mergeCell ref="G10:H10"/>
    <mergeCell ref="G11:H11"/>
    <mergeCell ref="G12:H12"/>
    <mergeCell ref="G13:H13"/>
    <mergeCell ref="G14:H14"/>
    <mergeCell ref="A15:B15"/>
    <mergeCell ref="D9:E9"/>
    <mergeCell ref="D10:E10"/>
    <mergeCell ref="D11:E11"/>
    <mergeCell ref="D12:E12"/>
    <mergeCell ref="D13:E13"/>
    <mergeCell ref="D14:E14"/>
    <mergeCell ref="D15:E15"/>
    <mergeCell ref="A9:B9"/>
    <mergeCell ref="A10:B10"/>
    <mergeCell ref="A11:B11"/>
    <mergeCell ref="A12:B12"/>
    <mergeCell ref="A13:B13"/>
    <mergeCell ref="A14:B14"/>
    <mergeCell ref="A1:C1"/>
    <mergeCell ref="A2:C2"/>
    <mergeCell ref="A3:C3"/>
    <mergeCell ref="A4:C4"/>
    <mergeCell ref="A5:C5"/>
    <mergeCell ref="F1:G1"/>
    <mergeCell ref="F2:G2"/>
    <mergeCell ref="F3:G3"/>
    <mergeCell ref="F4:G4"/>
    <mergeCell ref="F5:G5"/>
    <mergeCell ref="J7:K7"/>
    <mergeCell ref="J8:K8"/>
    <mergeCell ref="M7:N7"/>
    <mergeCell ref="M8:N8"/>
    <mergeCell ref="A7:B7"/>
    <mergeCell ref="A8:B8"/>
    <mergeCell ref="D7:E7"/>
    <mergeCell ref="D8:E8"/>
    <mergeCell ref="G7:H7"/>
    <mergeCell ref="G8:H8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"/>
  <sheetViews>
    <sheetView showGridLines="0" zoomScalePageLayoutView="0" workbookViewId="0" topLeftCell="A1">
      <selection activeCell="E19" sqref="E19"/>
    </sheetView>
  </sheetViews>
  <sheetFormatPr defaultColWidth="9.140625" defaultRowHeight="15"/>
  <cols>
    <col min="1" max="2" width="8.8515625" style="1" customWidth="1"/>
    <col min="3" max="3" width="10.421875" style="2" customWidth="1"/>
    <col min="4" max="5" width="8.8515625" style="3" customWidth="1"/>
  </cols>
  <sheetData>
    <row r="1" spans="1:5" ht="15.75" thickBot="1">
      <c r="A1" s="77" t="s">
        <v>62</v>
      </c>
      <c r="B1" s="77"/>
      <c r="C1" s="6" t="s">
        <v>61</v>
      </c>
      <c r="D1" s="77" t="s">
        <v>63</v>
      </c>
      <c r="E1" s="77"/>
    </row>
    <row r="2" spans="1:5" ht="15.75" thickTop="1">
      <c r="A2" s="75" t="s">
        <v>60</v>
      </c>
      <c r="B2" s="75"/>
      <c r="C2" s="5">
        <v>32232</v>
      </c>
      <c r="D2" s="78" t="s">
        <v>64</v>
      </c>
      <c r="E2" s="78"/>
    </row>
    <row r="3" spans="1:5" ht="15">
      <c r="A3" s="76" t="s">
        <v>65</v>
      </c>
      <c r="B3" s="76"/>
      <c r="C3" s="4" t="s">
        <v>66</v>
      </c>
      <c r="D3" s="74" t="s">
        <v>67</v>
      </c>
      <c r="E3" s="74"/>
    </row>
    <row r="4" spans="1:5" ht="15">
      <c r="A4" s="76" t="s">
        <v>68</v>
      </c>
      <c r="B4" s="76"/>
      <c r="C4" s="4" t="s">
        <v>69</v>
      </c>
      <c r="D4" s="74" t="s">
        <v>70</v>
      </c>
      <c r="E4" s="74"/>
    </row>
    <row r="5" spans="1:5" ht="15">
      <c r="A5" s="76" t="s">
        <v>71</v>
      </c>
      <c r="B5" s="76"/>
      <c r="C5" s="4" t="s">
        <v>75</v>
      </c>
      <c r="D5" s="74" t="s">
        <v>76</v>
      </c>
      <c r="E5" s="74"/>
    </row>
    <row r="6" spans="1:5" ht="15">
      <c r="A6" s="76" t="s">
        <v>72</v>
      </c>
      <c r="B6" s="76"/>
      <c r="C6" s="4" t="s">
        <v>77</v>
      </c>
      <c r="D6" s="74" t="s">
        <v>78</v>
      </c>
      <c r="E6" s="74"/>
    </row>
    <row r="7" spans="1:5" ht="15">
      <c r="A7" s="76" t="s">
        <v>73</v>
      </c>
      <c r="B7" s="76"/>
      <c r="C7" s="4" t="s">
        <v>79</v>
      </c>
      <c r="D7" s="74" t="s">
        <v>80</v>
      </c>
      <c r="E7" s="74"/>
    </row>
    <row r="8" spans="1:5" ht="15">
      <c r="A8" s="76" t="s">
        <v>74</v>
      </c>
      <c r="B8" s="76"/>
      <c r="C8" s="4" t="s">
        <v>81</v>
      </c>
      <c r="D8" s="74" t="s">
        <v>82</v>
      </c>
      <c r="E8" s="74"/>
    </row>
    <row r="9" spans="1:5" ht="15">
      <c r="A9" s="76" t="s">
        <v>83</v>
      </c>
      <c r="B9" s="76"/>
      <c r="C9" s="4" t="s">
        <v>85</v>
      </c>
      <c r="D9" s="74" t="s">
        <v>84</v>
      </c>
      <c r="E9" s="74"/>
    </row>
    <row r="10" spans="1:5" ht="15">
      <c r="A10" s="80"/>
      <c r="B10" s="80"/>
      <c r="D10" s="79"/>
      <c r="E10" s="79"/>
    </row>
  </sheetData>
  <sheetProtection sheet="1" objects="1" scenarios="1"/>
  <mergeCells count="20">
    <mergeCell ref="D7:E7"/>
    <mergeCell ref="D8:E8"/>
    <mergeCell ref="D9:E9"/>
    <mergeCell ref="D10:E10"/>
    <mergeCell ref="A8:B8"/>
    <mergeCell ref="A9:B9"/>
    <mergeCell ref="A10:B10"/>
    <mergeCell ref="A7:B7"/>
    <mergeCell ref="A1:B1"/>
    <mergeCell ref="D1:E1"/>
    <mergeCell ref="D2:E2"/>
    <mergeCell ref="D3:E3"/>
    <mergeCell ref="D4:E4"/>
    <mergeCell ref="D5:E5"/>
    <mergeCell ref="D6:E6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K19" sqref="K1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8"/>
  <sheetViews>
    <sheetView showGridLines="0" zoomScale="90" zoomScaleNormal="90" zoomScalePageLayoutView="0" workbookViewId="0" topLeftCell="A1">
      <selection activeCell="M36" sqref="M36"/>
    </sheetView>
  </sheetViews>
  <sheetFormatPr defaultColWidth="9.140625" defaultRowHeight="15"/>
  <sheetData>
    <row r="1" spans="2:3" ht="26.25">
      <c r="B1" s="84"/>
      <c r="C1" s="84" t="s">
        <v>112</v>
      </c>
    </row>
    <row r="3" spans="1:5" ht="15">
      <c r="A3" s="49"/>
      <c r="B3" s="49"/>
      <c r="C3" s="49"/>
      <c r="E3" s="82">
        <f>Db*3.14/4</f>
        <v>16.485</v>
      </c>
    </row>
    <row r="4" spans="1:3" ht="15">
      <c r="A4" s="49"/>
      <c r="B4" s="49"/>
      <c r="C4" s="49"/>
    </row>
    <row r="5" spans="1:6" ht="15">
      <c r="A5" s="49"/>
      <c r="B5" s="49"/>
      <c r="C5" s="49"/>
      <c r="F5" s="83">
        <f>E3/5</f>
        <v>3.2969999999999997</v>
      </c>
    </row>
    <row r="6" spans="1:3" ht="15">
      <c r="A6" s="49"/>
      <c r="B6" s="49"/>
      <c r="C6" s="49"/>
    </row>
    <row r="7" spans="1:3" ht="15">
      <c r="A7" s="49"/>
      <c r="B7" s="49"/>
      <c r="C7" s="49"/>
    </row>
    <row r="11" ht="15">
      <c r="D11" s="51">
        <f>HoleLocation5</f>
        <v>226.85754198003258</v>
      </c>
    </row>
    <row r="12" ht="15">
      <c r="C12" s="52">
        <f>HoleLocation4</f>
        <v>259.23863860918425</v>
      </c>
    </row>
    <row r="14" ht="15">
      <c r="C14" s="50">
        <f>HoleLocation3</f>
        <v>320.2292030962608</v>
      </c>
    </row>
    <row r="16" ht="15">
      <c r="B16" s="51">
        <f>HoleLocation2</f>
        <v>365.8184177813772</v>
      </c>
    </row>
    <row r="17" ht="15">
      <c r="F17" s="50">
        <f>Dh_5</f>
        <v>12</v>
      </c>
    </row>
    <row r="18" spans="1:6" ht="15">
      <c r="A18" s="52">
        <f>HoleLocation1</f>
        <v>417.13585465519355</v>
      </c>
      <c r="F18" s="50"/>
    </row>
    <row r="19" ht="15">
      <c r="F19" s="50"/>
    </row>
    <row r="20" spans="6:7" ht="15">
      <c r="F20" s="50">
        <f>Dh_4</f>
        <v>12</v>
      </c>
      <c r="G20" s="81">
        <f>TL</f>
        <v>533</v>
      </c>
    </row>
    <row r="21" ht="15">
      <c r="F21" s="50"/>
    </row>
    <row r="22" ht="15">
      <c r="F22" s="50"/>
    </row>
    <row r="23" ht="15">
      <c r="F23" s="50"/>
    </row>
    <row r="24" ht="15">
      <c r="F24" s="50">
        <f>Dh_3</f>
        <v>12</v>
      </c>
    </row>
    <row r="25" ht="15">
      <c r="F25" s="50"/>
    </row>
    <row r="26" ht="15">
      <c r="F26" s="50"/>
    </row>
    <row r="27" ht="15">
      <c r="F27" s="50"/>
    </row>
    <row r="28" ht="15">
      <c r="F28" s="50">
        <f>Dh_2</f>
        <v>12</v>
      </c>
    </row>
    <row r="29" ht="15">
      <c r="F29" s="50"/>
    </row>
    <row r="30" ht="15">
      <c r="F30" s="50"/>
    </row>
    <row r="31" ht="15">
      <c r="F31" s="50"/>
    </row>
    <row r="32" ht="15">
      <c r="F32" s="50">
        <f>Dh_1</f>
        <v>12</v>
      </c>
    </row>
    <row r="34" spans="1:3" ht="15">
      <c r="A34" s="85" t="s">
        <v>113</v>
      </c>
      <c r="B34" s="85"/>
      <c r="C34" s="86">
        <f>BaseNote</f>
        <v>293.66041275797375</v>
      </c>
    </row>
    <row r="35" spans="1:3" ht="15">
      <c r="A35" s="85" t="s">
        <v>114</v>
      </c>
      <c r="B35" s="85"/>
      <c r="C35" s="87">
        <f>ErgoSpan</f>
        <v>2.122923565053835</v>
      </c>
    </row>
    <row r="36" spans="1:3" ht="15">
      <c r="A36" s="88" t="s">
        <v>115</v>
      </c>
      <c r="B36" s="88"/>
      <c r="C36" s="51">
        <f>EAR</f>
        <v>25.47508278064602</v>
      </c>
    </row>
    <row r="37" ht="15">
      <c r="D37" s="51">
        <f>Db</f>
        <v>21</v>
      </c>
    </row>
    <row r="38" ht="15">
      <c r="F38" s="53">
        <f>Wt</f>
        <v>5.4</v>
      </c>
    </row>
  </sheetData>
  <sheetProtection password="D472" sheet="1"/>
  <mergeCells count="3">
    <mergeCell ref="A34:B34"/>
    <mergeCell ref="A35:B35"/>
    <mergeCell ref="A36:B3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uralgsm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ng_Konshin</dc:creator>
  <cp:keywords/>
  <dc:description/>
  <cp:lastModifiedBy>ng_Konshin</cp:lastModifiedBy>
  <cp:lastPrinted>2011-01-11T07:56:54Z</cp:lastPrinted>
  <dcterms:created xsi:type="dcterms:W3CDTF">2010-12-08T04:10:50Z</dcterms:created>
  <dcterms:modified xsi:type="dcterms:W3CDTF">2011-01-11T07:57:42Z</dcterms:modified>
  <cp:category/>
  <cp:version/>
  <cp:contentType/>
  <cp:contentStatus/>
</cp:coreProperties>
</file>